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305" windowHeight="8490"/>
  </bookViews>
  <sheets>
    <sheet name="EE" sheetId="3" r:id="rId1"/>
    <sheet name="ZP faktury" sheetId="2" r:id="rId2"/>
    <sheet name="VODA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3" l="1"/>
  <c r="B49" i="3" s="1"/>
  <c r="B30" i="3"/>
  <c r="B48" i="3" s="1"/>
  <c r="B15" i="3"/>
  <c r="B47" i="3" s="1"/>
  <c r="C42" i="1" l="1"/>
  <c r="C23" i="1" l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B22" i="1"/>
  <c r="C22" i="1" s="1"/>
  <c r="B21" i="1"/>
  <c r="C21" i="1" s="1"/>
  <c r="B20" i="1"/>
  <c r="C20" i="1" s="1"/>
  <c r="B19" i="1"/>
  <c r="C19" i="1"/>
  <c r="B46" i="1"/>
  <c r="C46" i="1" s="1"/>
  <c r="B45" i="1"/>
  <c r="C45" i="1" s="1"/>
  <c r="B44" i="1"/>
  <c r="C44" i="1" s="1"/>
  <c r="B43" i="1"/>
  <c r="C43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1" i="1" l="1"/>
  <c r="B31" i="1"/>
  <c r="B47" i="1"/>
  <c r="C35" i="1"/>
  <c r="C47" i="1" s="1"/>
  <c r="B14" i="1"/>
  <c r="B13" i="1"/>
  <c r="B12" i="1"/>
  <c r="C12" i="1" s="1"/>
  <c r="B11" i="1"/>
  <c r="C11" i="1" s="1"/>
  <c r="B10" i="1"/>
  <c r="B9" i="1"/>
  <c r="C9" i="1" s="1"/>
  <c r="B8" i="1"/>
  <c r="C8" i="1" s="1"/>
  <c r="B7" i="1"/>
  <c r="C7" i="1" s="1"/>
  <c r="B6" i="1"/>
  <c r="B5" i="1"/>
  <c r="C5" i="1" s="1"/>
  <c r="B4" i="1"/>
  <c r="C4" i="1" s="1"/>
  <c r="C6" i="1"/>
  <c r="C10" i="1"/>
  <c r="C13" i="1"/>
  <c r="C14" i="1"/>
  <c r="B3" i="1" l="1"/>
  <c r="U38" i="2"/>
  <c r="K41" i="2"/>
  <c r="I39" i="2"/>
  <c r="N49" i="2"/>
  <c r="O49" i="2" s="1"/>
  <c r="B49" i="2"/>
  <c r="C49" i="2" s="1"/>
  <c r="O48" i="2"/>
  <c r="C48" i="2"/>
  <c r="N47" i="2"/>
  <c r="O47" i="2" s="1"/>
  <c r="U47" i="2" s="1"/>
  <c r="B47" i="2"/>
  <c r="C47" i="2" s="1"/>
  <c r="J47" i="2" s="1"/>
  <c r="N46" i="2"/>
  <c r="O46" i="2" s="1"/>
  <c r="V46" i="2" s="1"/>
  <c r="B46" i="2"/>
  <c r="C46" i="2" s="1"/>
  <c r="K46" i="2" s="1"/>
  <c r="N45" i="2"/>
  <c r="O45" i="2" s="1"/>
  <c r="W45" i="2" s="1"/>
  <c r="B45" i="2"/>
  <c r="C45" i="2" s="1"/>
  <c r="H45" i="2" s="1"/>
  <c r="N44" i="2"/>
  <c r="O44" i="2" s="1"/>
  <c r="T44" i="2" s="1"/>
  <c r="B44" i="2"/>
  <c r="C44" i="2" s="1"/>
  <c r="I44" i="2" s="1"/>
  <c r="N43" i="2"/>
  <c r="O43" i="2" s="1"/>
  <c r="U43" i="2" s="1"/>
  <c r="B43" i="2"/>
  <c r="C43" i="2" s="1"/>
  <c r="J43" i="2" s="1"/>
  <c r="N42" i="2"/>
  <c r="O42" i="2" s="1"/>
  <c r="V42" i="2" s="1"/>
  <c r="B42" i="2"/>
  <c r="C42" i="2" s="1"/>
  <c r="K42" i="2" s="1"/>
  <c r="N41" i="2"/>
  <c r="O41" i="2" s="1"/>
  <c r="W41" i="2" s="1"/>
  <c r="B41" i="2"/>
  <c r="C41" i="2" s="1"/>
  <c r="H41" i="2" s="1"/>
  <c r="N40" i="2"/>
  <c r="O40" i="2" s="1"/>
  <c r="B40" i="2"/>
  <c r="C40" i="2" s="1"/>
  <c r="I40" i="2" s="1"/>
  <c r="N39" i="2"/>
  <c r="O39" i="2" s="1"/>
  <c r="U39" i="2" s="1"/>
  <c r="B39" i="2"/>
  <c r="C39" i="2" s="1"/>
  <c r="J39" i="2" s="1"/>
  <c r="N38" i="2"/>
  <c r="O38" i="2" s="1"/>
  <c r="V38" i="2" s="1"/>
  <c r="B38" i="2"/>
  <c r="C38" i="2" s="1"/>
  <c r="K38" i="2" s="1"/>
  <c r="N37" i="2"/>
  <c r="R36" i="2"/>
  <c r="F36" i="2"/>
  <c r="B37" i="2" s="1"/>
  <c r="N31" i="2"/>
  <c r="O31" i="2" s="1"/>
  <c r="W31" i="2" s="1"/>
  <c r="N32" i="2"/>
  <c r="O32" i="2" s="1"/>
  <c r="B31" i="2"/>
  <c r="C31" i="2" s="1"/>
  <c r="B32" i="2"/>
  <c r="C32" i="2" s="1"/>
  <c r="T22" i="2"/>
  <c r="N14" i="2"/>
  <c r="O14" i="2" s="1"/>
  <c r="N15" i="2"/>
  <c r="R19" i="2"/>
  <c r="N30" i="2"/>
  <c r="O30" i="2" s="1"/>
  <c r="U30" i="2" s="1"/>
  <c r="N29" i="2"/>
  <c r="O29" i="2" s="1"/>
  <c r="V29" i="2" s="1"/>
  <c r="N28" i="2"/>
  <c r="O28" i="2" s="1"/>
  <c r="W28" i="2" s="1"/>
  <c r="N27" i="2"/>
  <c r="O27" i="2" s="1"/>
  <c r="T27" i="2" s="1"/>
  <c r="N26" i="2"/>
  <c r="O26" i="2" s="1"/>
  <c r="U26" i="2" s="1"/>
  <c r="N25" i="2"/>
  <c r="O25" i="2" s="1"/>
  <c r="V25" i="2" s="1"/>
  <c r="N24" i="2"/>
  <c r="O24" i="2" s="1"/>
  <c r="W24" i="2" s="1"/>
  <c r="N23" i="2"/>
  <c r="O23" i="2" s="1"/>
  <c r="T23" i="2" s="1"/>
  <c r="N22" i="2"/>
  <c r="O22" i="2" s="1"/>
  <c r="U22" i="2" s="1"/>
  <c r="N21" i="2"/>
  <c r="O21" i="2" s="1"/>
  <c r="V21" i="2" s="1"/>
  <c r="N20" i="2"/>
  <c r="V28" i="2" l="1"/>
  <c r="U29" i="2"/>
  <c r="V24" i="2"/>
  <c r="H44" i="2"/>
  <c r="J46" i="2"/>
  <c r="T39" i="2"/>
  <c r="W44" i="2"/>
  <c r="T30" i="2"/>
  <c r="U25" i="2"/>
  <c r="I47" i="2"/>
  <c r="J42" i="2"/>
  <c r="U46" i="2"/>
  <c r="T26" i="2"/>
  <c r="U21" i="2"/>
  <c r="I43" i="2"/>
  <c r="K45" i="2"/>
  <c r="U42" i="2"/>
  <c r="K31" i="2"/>
  <c r="J31" i="2"/>
  <c r="I31" i="2"/>
  <c r="H31" i="2"/>
  <c r="U32" i="2"/>
  <c r="W32" i="2"/>
  <c r="V32" i="2"/>
  <c r="T32" i="2"/>
  <c r="T14" i="2"/>
  <c r="W14" i="2"/>
  <c r="U14" i="2"/>
  <c r="V14" i="2"/>
  <c r="K32" i="2"/>
  <c r="I32" i="2"/>
  <c r="H32" i="2"/>
  <c r="J32" i="2"/>
  <c r="C37" i="2"/>
  <c r="B50" i="2"/>
  <c r="T40" i="2"/>
  <c r="U40" i="2"/>
  <c r="V40" i="2"/>
  <c r="W40" i="2"/>
  <c r="H40" i="2"/>
  <c r="T47" i="2"/>
  <c r="V45" i="2"/>
  <c r="O20" i="2"/>
  <c r="N33" i="2"/>
  <c r="T29" i="2"/>
  <c r="T25" i="2"/>
  <c r="T21" i="2"/>
  <c r="U28" i="2"/>
  <c r="U24" i="2"/>
  <c r="V27" i="2"/>
  <c r="V23" i="2"/>
  <c r="W30" i="2"/>
  <c r="W26" i="2"/>
  <c r="W22" i="2"/>
  <c r="T31" i="2"/>
  <c r="V31" i="2"/>
  <c r="H47" i="2"/>
  <c r="H43" i="2"/>
  <c r="H39" i="2"/>
  <c r="I46" i="2"/>
  <c r="I42" i="2"/>
  <c r="I38" i="2"/>
  <c r="J45" i="2"/>
  <c r="J41" i="2"/>
  <c r="K44" i="2"/>
  <c r="K40" i="2"/>
  <c r="T46" i="2"/>
  <c r="T42" i="2"/>
  <c r="T38" i="2"/>
  <c r="U45" i="2"/>
  <c r="U41" i="2"/>
  <c r="V44" i="2"/>
  <c r="W47" i="2"/>
  <c r="W43" i="2"/>
  <c r="W39" i="2"/>
  <c r="W27" i="2"/>
  <c r="J38" i="2"/>
  <c r="V41" i="2"/>
  <c r="T28" i="2"/>
  <c r="T24" i="2"/>
  <c r="U27" i="2"/>
  <c r="U23" i="2"/>
  <c r="V30" i="2"/>
  <c r="V26" i="2"/>
  <c r="P26" i="2" s="1"/>
  <c r="Q26" i="2" s="1"/>
  <c r="V22" i="2"/>
  <c r="W29" i="2"/>
  <c r="W25" i="2"/>
  <c r="W21" i="2"/>
  <c r="U31" i="2"/>
  <c r="H46" i="2"/>
  <c r="H42" i="2"/>
  <c r="H38" i="2"/>
  <c r="I45" i="2"/>
  <c r="I41" i="2"/>
  <c r="J44" i="2"/>
  <c r="J40" i="2"/>
  <c r="K47" i="2"/>
  <c r="K43" i="2"/>
  <c r="K39" i="2"/>
  <c r="T45" i="2"/>
  <c r="T41" i="2"/>
  <c r="U44" i="2"/>
  <c r="V47" i="2"/>
  <c r="V43" i="2"/>
  <c r="V39" i="2"/>
  <c r="W46" i="2"/>
  <c r="W42" i="2"/>
  <c r="W38" i="2"/>
  <c r="W23" i="2"/>
  <c r="T43" i="2"/>
  <c r="O37" i="2"/>
  <c r="N50" i="2"/>
  <c r="B15" i="1"/>
  <c r="C3" i="1"/>
  <c r="C15" i="1" s="1"/>
  <c r="H37" i="2"/>
  <c r="D43" i="2"/>
  <c r="E43" i="2" s="1"/>
  <c r="D39" i="2"/>
  <c r="E39" i="2" s="1"/>
  <c r="T37" i="2"/>
  <c r="T20" i="2"/>
  <c r="D46" i="2" l="1"/>
  <c r="E46" i="2" s="1"/>
  <c r="P14" i="2"/>
  <c r="Q14" i="2" s="1"/>
  <c r="P32" i="2"/>
  <c r="Q32" i="2" s="1"/>
  <c r="D31" i="2"/>
  <c r="E31" i="2" s="1"/>
  <c r="P31" i="2"/>
  <c r="Q31" i="2" s="1"/>
  <c r="U37" i="2"/>
  <c r="V37" i="2"/>
  <c r="W37" i="2"/>
  <c r="W20" i="2"/>
  <c r="U20" i="2"/>
  <c r="P20" i="2" s="1"/>
  <c r="Q20" i="2" s="1"/>
  <c r="V20" i="2"/>
  <c r="B55" i="2"/>
  <c r="I37" i="2"/>
  <c r="J37" i="2"/>
  <c r="K37" i="2"/>
  <c r="P46" i="2"/>
  <c r="Q46" i="2" s="1"/>
  <c r="P42" i="2"/>
  <c r="Q42" i="2" s="1"/>
  <c r="P41" i="2"/>
  <c r="Q41" i="2" s="1"/>
  <c r="P38" i="2"/>
  <c r="Q38" i="2" s="1"/>
  <c r="P44" i="2"/>
  <c r="Q44" i="2" s="1"/>
  <c r="D41" i="2"/>
  <c r="E41" i="2" s="1"/>
  <c r="D40" i="2"/>
  <c r="E40" i="2" s="1"/>
  <c r="P40" i="2"/>
  <c r="Q40" i="2" s="1"/>
  <c r="P39" i="2"/>
  <c r="Q39" i="2" s="1"/>
  <c r="P47" i="2"/>
  <c r="Q47" i="2" s="1"/>
  <c r="P45" i="2"/>
  <c r="Q45" i="2" s="1"/>
  <c r="D44" i="2"/>
  <c r="E44" i="2" s="1"/>
  <c r="D42" i="2"/>
  <c r="E42" i="2" s="1"/>
  <c r="D38" i="2"/>
  <c r="E38" i="2" s="1"/>
  <c r="D49" i="2"/>
  <c r="E49" i="2" s="1"/>
  <c r="D47" i="2"/>
  <c r="E47" i="2" s="1"/>
  <c r="D45" i="2"/>
  <c r="E45" i="2" s="1"/>
  <c r="P43" i="2"/>
  <c r="Q43" i="2" s="1"/>
  <c r="P27" i="2"/>
  <c r="Q27" i="2" s="1"/>
  <c r="P29" i="2"/>
  <c r="Q29" i="2" s="1"/>
  <c r="P24" i="2"/>
  <c r="Q24" i="2" s="1"/>
  <c r="P30" i="2"/>
  <c r="Q30" i="2" s="1"/>
  <c r="P22" i="2"/>
  <c r="Q22" i="2" s="1"/>
  <c r="P25" i="2"/>
  <c r="Q25" i="2" s="1"/>
  <c r="P28" i="2"/>
  <c r="Q28" i="2" s="1"/>
  <c r="P21" i="2"/>
  <c r="Q21" i="2" s="1"/>
  <c r="P23" i="2"/>
  <c r="Q23" i="2" s="1"/>
  <c r="Q33" i="2" l="1"/>
  <c r="P37" i="2"/>
  <c r="Q37" i="2" s="1"/>
  <c r="Q50" i="2" s="1"/>
  <c r="D37" i="2"/>
  <c r="E37" i="2" s="1"/>
  <c r="E50" i="2" s="1"/>
  <c r="C55" i="2" s="1"/>
  <c r="B14" i="2"/>
  <c r="C14" i="2" s="1"/>
  <c r="B15" i="2"/>
  <c r="C15" i="2" s="1"/>
  <c r="I15" i="2" s="1"/>
  <c r="F19" i="2"/>
  <c r="B20" i="2" s="1"/>
  <c r="B30" i="2"/>
  <c r="C30" i="2" s="1"/>
  <c r="B29" i="2"/>
  <c r="C29" i="2" s="1"/>
  <c r="B28" i="2"/>
  <c r="C28" i="2" s="1"/>
  <c r="B27" i="2"/>
  <c r="C27" i="2" s="1"/>
  <c r="B26" i="2"/>
  <c r="C26" i="2" s="1"/>
  <c r="B25" i="2"/>
  <c r="C25" i="2" s="1"/>
  <c r="B24" i="2"/>
  <c r="C24" i="2" s="1"/>
  <c r="B23" i="2"/>
  <c r="C23" i="2" s="1"/>
  <c r="B22" i="2"/>
  <c r="C22" i="2" s="1"/>
  <c r="B21" i="2"/>
  <c r="C21" i="2" s="1"/>
  <c r="O15" i="2"/>
  <c r="N13" i="2"/>
  <c r="O13" i="2" s="1"/>
  <c r="U13" i="2" s="1"/>
  <c r="N12" i="2"/>
  <c r="O12" i="2" s="1"/>
  <c r="U12" i="2" s="1"/>
  <c r="N11" i="2"/>
  <c r="O11" i="2" s="1"/>
  <c r="U11" i="2" s="1"/>
  <c r="N10" i="2"/>
  <c r="O10" i="2" s="1"/>
  <c r="U10" i="2" s="1"/>
  <c r="N9" i="2"/>
  <c r="O9" i="2" s="1"/>
  <c r="U9" i="2" s="1"/>
  <c r="N8" i="2"/>
  <c r="O8" i="2" s="1"/>
  <c r="U8" i="2" s="1"/>
  <c r="N7" i="2"/>
  <c r="O7" i="2" s="1"/>
  <c r="U7" i="2" s="1"/>
  <c r="N6" i="2"/>
  <c r="O6" i="2" s="1"/>
  <c r="U6" i="2" s="1"/>
  <c r="N5" i="2"/>
  <c r="O5" i="2" s="1"/>
  <c r="U5" i="2" s="1"/>
  <c r="N4" i="2"/>
  <c r="O4" i="2" s="1"/>
  <c r="U4" i="2" s="1"/>
  <c r="N3" i="2"/>
  <c r="B4" i="2"/>
  <c r="C4" i="2" s="1"/>
  <c r="B5" i="2"/>
  <c r="C5" i="2" s="1"/>
  <c r="H5" i="2" s="1"/>
  <c r="B6" i="2"/>
  <c r="C6" i="2" s="1"/>
  <c r="B7" i="2"/>
  <c r="C7" i="2" s="1"/>
  <c r="B8" i="2"/>
  <c r="C8" i="2" s="1"/>
  <c r="B9" i="2"/>
  <c r="C9" i="2" s="1"/>
  <c r="J9" i="2" s="1"/>
  <c r="B10" i="2"/>
  <c r="C10" i="2" s="1"/>
  <c r="B11" i="2"/>
  <c r="C11" i="2" s="1"/>
  <c r="B12" i="2"/>
  <c r="C12" i="2" s="1"/>
  <c r="B13" i="2"/>
  <c r="C13" i="2" s="1"/>
  <c r="B3" i="2"/>
  <c r="C3" i="2" s="1"/>
  <c r="C34" i="3"/>
  <c r="C35" i="3"/>
  <c r="D35" i="3" s="1"/>
  <c r="C36" i="3"/>
  <c r="D36" i="3" s="1"/>
  <c r="C37" i="3"/>
  <c r="D37" i="3" s="1"/>
  <c r="C38" i="3"/>
  <c r="C39" i="3"/>
  <c r="D39" i="3" s="1"/>
  <c r="C40" i="3"/>
  <c r="D40" i="3" s="1"/>
  <c r="C41" i="3"/>
  <c r="D41" i="3" s="1"/>
  <c r="C42" i="3"/>
  <c r="C43" i="3"/>
  <c r="D43" i="3" s="1"/>
  <c r="C44" i="3"/>
  <c r="D44" i="3" s="1"/>
  <c r="C33" i="3"/>
  <c r="D33" i="3" s="1"/>
  <c r="D42" i="3"/>
  <c r="D38" i="3"/>
  <c r="D34" i="3"/>
  <c r="C19" i="3"/>
  <c r="D19" i="3" s="1"/>
  <c r="C20" i="3"/>
  <c r="C21" i="3"/>
  <c r="D21" i="3" s="1"/>
  <c r="C22" i="3"/>
  <c r="D22" i="3" s="1"/>
  <c r="C23" i="3"/>
  <c r="D23" i="3" s="1"/>
  <c r="C24" i="3"/>
  <c r="D24" i="3" s="1"/>
  <c r="C25" i="3"/>
  <c r="D25" i="3" s="1"/>
  <c r="C26" i="3"/>
  <c r="D26" i="3" s="1"/>
  <c r="C27" i="3"/>
  <c r="D27" i="3" s="1"/>
  <c r="C28" i="3"/>
  <c r="D28" i="3" s="1"/>
  <c r="C29" i="3"/>
  <c r="D29" i="3" s="1"/>
  <c r="C18" i="3"/>
  <c r="D18" i="3"/>
  <c r="D20" i="3"/>
  <c r="C4" i="3"/>
  <c r="D4" i="3" s="1"/>
  <c r="C5" i="3"/>
  <c r="D5" i="3" s="1"/>
  <c r="C6" i="3"/>
  <c r="D6" i="3" s="1"/>
  <c r="C7" i="3"/>
  <c r="D7" i="3" s="1"/>
  <c r="C8" i="3"/>
  <c r="D8" i="3" s="1"/>
  <c r="C9" i="3"/>
  <c r="D9" i="3" s="1"/>
  <c r="C10" i="3"/>
  <c r="D10" i="3" s="1"/>
  <c r="C11" i="3"/>
  <c r="D11" i="3"/>
  <c r="C12" i="3"/>
  <c r="D12" i="3" s="1"/>
  <c r="C13" i="3"/>
  <c r="D13" i="3" s="1"/>
  <c r="C14" i="3"/>
  <c r="D14" i="3" s="1"/>
  <c r="C3" i="3"/>
  <c r="D45" i="3" l="1"/>
  <c r="C49" i="3" s="1"/>
  <c r="C15" i="3"/>
  <c r="K3" i="2"/>
  <c r="H3" i="2"/>
  <c r="J3" i="2"/>
  <c r="I3" i="2"/>
  <c r="J14" i="2"/>
  <c r="H14" i="2"/>
  <c r="K14" i="2"/>
  <c r="I14" i="2"/>
  <c r="D3" i="3"/>
  <c r="D15" i="3" s="1"/>
  <c r="C47" i="3" s="1"/>
  <c r="C30" i="3"/>
  <c r="O3" i="2"/>
  <c r="U3" i="2" s="1"/>
  <c r="N16" i="2"/>
  <c r="J23" i="2"/>
  <c r="K23" i="2"/>
  <c r="I23" i="2"/>
  <c r="H23" i="2"/>
  <c r="D23" i="2" s="1"/>
  <c r="E23" i="2" s="1"/>
  <c r="J27" i="2"/>
  <c r="H27" i="2"/>
  <c r="K27" i="2"/>
  <c r="I27" i="2"/>
  <c r="K22" i="2"/>
  <c r="I22" i="2"/>
  <c r="J22" i="2"/>
  <c r="H22" i="2"/>
  <c r="K30" i="2"/>
  <c r="I30" i="2"/>
  <c r="H30" i="2"/>
  <c r="J30" i="2"/>
  <c r="C45" i="3"/>
  <c r="B16" i="2"/>
  <c r="C16" i="2" s="1"/>
  <c r="C20" i="2"/>
  <c r="B33" i="2"/>
  <c r="B54" i="2" s="1"/>
  <c r="H24" i="2"/>
  <c r="J24" i="2"/>
  <c r="K24" i="2"/>
  <c r="I24" i="2"/>
  <c r="H28" i="2"/>
  <c r="J28" i="2"/>
  <c r="K28" i="2"/>
  <c r="I28" i="2"/>
  <c r="D30" i="3"/>
  <c r="C48" i="3" s="1"/>
  <c r="U15" i="2"/>
  <c r="W15" i="2"/>
  <c r="T15" i="2"/>
  <c r="V15" i="2"/>
  <c r="K26" i="2"/>
  <c r="I26" i="2"/>
  <c r="J26" i="2"/>
  <c r="H26" i="2"/>
  <c r="H21" i="2"/>
  <c r="I21" i="2"/>
  <c r="J21" i="2"/>
  <c r="K21" i="2"/>
  <c r="K25" i="2"/>
  <c r="H25" i="2"/>
  <c r="J25" i="2"/>
  <c r="I25" i="2"/>
  <c r="I29" i="2"/>
  <c r="H29" i="2"/>
  <c r="J29" i="2"/>
  <c r="K29" i="2"/>
  <c r="H15" i="2"/>
  <c r="K15" i="2"/>
  <c r="J15" i="2"/>
  <c r="J11" i="2"/>
  <c r="H11" i="2"/>
  <c r="K11" i="2"/>
  <c r="I11" i="2"/>
  <c r="J10" i="2"/>
  <c r="H10" i="2"/>
  <c r="K10" i="2"/>
  <c r="I10" i="2"/>
  <c r="J6" i="2"/>
  <c r="H6" i="2"/>
  <c r="K6" i="2"/>
  <c r="I6" i="2"/>
  <c r="K7" i="2"/>
  <c r="J7" i="2"/>
  <c r="H7" i="2"/>
  <c r="I7" i="2"/>
  <c r="K12" i="2"/>
  <c r="I12" i="2"/>
  <c r="J12" i="2"/>
  <c r="H12" i="2"/>
  <c r="K8" i="2"/>
  <c r="I8" i="2"/>
  <c r="J8" i="2"/>
  <c r="H8" i="2"/>
  <c r="K4" i="2"/>
  <c r="I4" i="2"/>
  <c r="J4" i="2"/>
  <c r="H4" i="2"/>
  <c r="H9" i="2"/>
  <c r="J5" i="2"/>
  <c r="I9" i="2"/>
  <c r="I5" i="2"/>
  <c r="K9" i="2"/>
  <c r="K5" i="2"/>
  <c r="K13" i="2"/>
  <c r="I13" i="2"/>
  <c r="J13" i="2"/>
  <c r="H13" i="2"/>
  <c r="H20" i="2"/>
  <c r="D21" i="2"/>
  <c r="E21" i="2" s="1"/>
  <c r="W13" i="2"/>
  <c r="V13" i="2"/>
  <c r="W12" i="2"/>
  <c r="V12" i="2"/>
  <c r="W11" i="2"/>
  <c r="V11" i="2"/>
  <c r="W10" i="2"/>
  <c r="V10" i="2"/>
  <c r="W9" i="2"/>
  <c r="V9" i="2"/>
  <c r="W8" i="2"/>
  <c r="V8" i="2"/>
  <c r="W7" i="2"/>
  <c r="V7" i="2"/>
  <c r="W6" i="2"/>
  <c r="V6" i="2"/>
  <c r="W5" i="2"/>
  <c r="V5" i="2"/>
  <c r="W4" i="2"/>
  <c r="V4" i="2"/>
  <c r="W3" i="2"/>
  <c r="V3" i="2"/>
  <c r="T3" i="2"/>
  <c r="T4" i="2"/>
  <c r="T5" i="2"/>
  <c r="T6" i="2"/>
  <c r="T7" i="2"/>
  <c r="T8" i="2"/>
  <c r="T9" i="2"/>
  <c r="T10" i="2"/>
  <c r="T11" i="2"/>
  <c r="T12" i="2"/>
  <c r="T13" i="2"/>
  <c r="D25" i="2" l="1"/>
  <c r="E25" i="2" s="1"/>
  <c r="D26" i="2"/>
  <c r="E26" i="2" s="1"/>
  <c r="D28" i="2"/>
  <c r="E28" i="2" s="1"/>
  <c r="D24" i="2"/>
  <c r="E24" i="2" s="1"/>
  <c r="D22" i="2"/>
  <c r="E22" i="2" s="1"/>
  <c r="D27" i="2"/>
  <c r="E27" i="2" s="1"/>
  <c r="K16" i="2"/>
  <c r="H16" i="2"/>
  <c r="J16" i="2"/>
  <c r="D5" i="2"/>
  <c r="E5" i="2" s="1"/>
  <c r="B53" i="2"/>
  <c r="D14" i="2"/>
  <c r="E14" i="2" s="1"/>
  <c r="D3" i="2"/>
  <c r="E3" i="2" s="1"/>
  <c r="J20" i="2"/>
  <c r="K20" i="2"/>
  <c r="I20" i="2"/>
  <c r="D20" i="2" s="1"/>
  <c r="E20" i="2" s="1"/>
  <c r="E33" i="2" s="1"/>
  <c r="C54" i="2" s="1"/>
  <c r="D32" i="2"/>
  <c r="E32" i="2" s="1"/>
  <c r="D7" i="2"/>
  <c r="E7" i="2" s="1"/>
  <c r="P11" i="2"/>
  <c r="Q11" i="2" s="1"/>
  <c r="P15" i="2"/>
  <c r="Q15" i="2" s="1"/>
  <c r="D9" i="2"/>
  <c r="E9" i="2" s="1"/>
  <c r="D6" i="2"/>
  <c r="E6" i="2" s="1"/>
  <c r="D10" i="2"/>
  <c r="E10" i="2" s="1"/>
  <c r="D11" i="2"/>
  <c r="E11" i="2" s="1"/>
  <c r="D13" i="2"/>
  <c r="E13" i="2" s="1"/>
  <c r="D4" i="2"/>
  <c r="E4" i="2" s="1"/>
  <c r="D8" i="2"/>
  <c r="E8" i="2" s="1"/>
  <c r="D12" i="2"/>
  <c r="E12" i="2" s="1"/>
  <c r="D30" i="2"/>
  <c r="E30" i="2" s="1"/>
  <c r="D29" i="2"/>
  <c r="E29" i="2" s="1"/>
  <c r="D15" i="2"/>
  <c r="E15" i="2" s="1"/>
  <c r="P13" i="2"/>
  <c r="Q13" i="2" s="1"/>
  <c r="P12" i="2"/>
  <c r="Q12" i="2" s="1"/>
  <c r="P10" i="2"/>
  <c r="Q10" i="2" s="1"/>
  <c r="P9" i="2"/>
  <c r="Q9" i="2" s="1"/>
  <c r="P8" i="2"/>
  <c r="Q8" i="2" s="1"/>
  <c r="P7" i="2"/>
  <c r="Q7" i="2" s="1"/>
  <c r="P6" i="2"/>
  <c r="Q6" i="2" s="1"/>
  <c r="P5" i="2"/>
  <c r="Q5" i="2" s="1"/>
  <c r="P4" i="2"/>
  <c r="Q4" i="2" s="1"/>
  <c r="P3" i="2"/>
  <c r="Q3" i="2" s="1"/>
  <c r="Q16" i="2" l="1"/>
  <c r="E16" i="2"/>
  <c r="C53" i="2" s="1"/>
</calcChain>
</file>

<file path=xl/sharedStrings.xml><?xml version="1.0" encoding="utf-8"?>
<sst xmlns="http://schemas.openxmlformats.org/spreadsheetml/2006/main" count="246" uniqueCount="33">
  <si>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</si>
  <si>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</si>
  <si>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</si>
  <si>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</si>
  <si>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</si>
  <si>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</si>
  <si>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</si>
  <si>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</si>
  <si>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</si>
  <si>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</si>
  <si>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</si>
  <si>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</si>
  <si>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kWh</t>
  </si>
  <si>
    <t>MWh</t>
  </si>
  <si>
    <t>Kč bez DPH</t>
  </si>
  <si>
    <t>Kč s DPH</t>
  </si>
  <si>
    <t>jistič 3x200A</t>
  </si>
  <si>
    <t>EAN859182400601095462</t>
  </si>
  <si>
    <t>EAN859182400604469574</t>
  </si>
  <si>
    <t>jistič 1x25A</t>
  </si>
  <si>
    <t>květen až prosinec</t>
  </si>
  <si>
    <t>EIC27ZG200Z0015343N</t>
  </si>
  <si>
    <t>m3</t>
  </si>
  <si>
    <t>daň</t>
  </si>
  <si>
    <t>distruibuce</t>
  </si>
  <si>
    <t>OT</t>
  </si>
  <si>
    <t>dodávka</t>
  </si>
  <si>
    <t>stav plynoměru</t>
  </si>
  <si>
    <t>EIC27ZG200Z0012456P</t>
  </si>
  <si>
    <t>fakturace je roční ke dni 25.11.</t>
  </si>
  <si>
    <t>vodné a stočné</t>
  </si>
  <si>
    <t>Vytápění</t>
  </si>
  <si>
    <t>Přístavba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</si>
</sst>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2" borderId="0" xfId="0" applyFill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topLeftCell="A13" workbookViewId="0">
      <selection activeCell="F51" sqref="F51"/>
    </sheetView>
  </sheetViews>
  <sheetFormatPr defaultRowHeight="15" x14ac:dyDescent="0.25"/>
  <cols>
    <col min="2" max="2" width="10" bestFit="1" customWidth="1"/>
    <col min="3" max="4" width="12" bestFit="1" customWidth="1"/>
  </cols>
  <sheetData>
    <row r="1" spans="1:10" x14ac:dyDescent="0.25">
      <c r="A1" t="s">
        <v>17</v>
      </c>
      <c r="D1" t="s">
        <v>16</v>
      </c>
      <c r="G1" t="s">
        <v>18</v>
      </c>
      <c r="J1" t="s">
        <v>19</v>
      </c>
    </row>
    <row r="2" spans="1:10" x14ac:dyDescent="0.25">
      <c r="A2">
        <v>2018</v>
      </c>
      <c r="B2" t="s">
        <v>13</v>
      </c>
      <c r="C2" t="s">
        <v>14</v>
      </c>
      <c r="D2" t="s">
        <v>15</v>
      </c>
    </row>
    <row r="3" spans="1:10" x14ac:dyDescent="0.25">
      <c r="A3" t="s">
        <v>0</v>
      </c>
      <c r="B3">
        <v>15.103</v>
      </c>
      <c r="C3" s="1">
        <f>B3*(1051+2140.4+495+93.63+28.3)+936+5.4</f>
        <v>58458.607990000004</v>
      </c>
      <c r="D3" s="1">
        <f>C3*1.21</f>
        <v>70734.915667900001</v>
      </c>
    </row>
    <row r="4" spans="1:10" x14ac:dyDescent="0.25">
      <c r="A4" t="s">
        <v>1</v>
      </c>
      <c r="B4">
        <v>11.973000000000001</v>
      </c>
      <c r="C4" s="1">
        <f t="shared" ref="C4:C14" si="0">B4*(1051+2140.4+495+93.63+28.3)+936+5.4</f>
        <v>46538.535090000012</v>
      </c>
      <c r="D4" s="1">
        <f t="shared" ref="D4:D14" si="1">C4*1.21</f>
        <v>56311.62745890001</v>
      </c>
    </row>
    <row r="5" spans="1:10" x14ac:dyDescent="0.25">
      <c r="A5" t="s">
        <v>2</v>
      </c>
      <c r="B5">
        <v>13.413</v>
      </c>
      <c r="C5" s="1">
        <f t="shared" si="0"/>
        <v>52022.53029000001</v>
      </c>
      <c r="D5" s="1">
        <f t="shared" si="1"/>
        <v>62947.261650900007</v>
      </c>
    </row>
    <row r="6" spans="1:10" x14ac:dyDescent="0.25">
      <c r="A6" t="s">
        <v>3</v>
      </c>
      <c r="B6">
        <v>14.372999999999999</v>
      </c>
      <c r="C6" s="1">
        <f t="shared" si="0"/>
        <v>55678.527090000003</v>
      </c>
      <c r="D6" s="1">
        <f t="shared" si="1"/>
        <v>67371.017778900001</v>
      </c>
    </row>
    <row r="7" spans="1:10" x14ac:dyDescent="0.25">
      <c r="A7" t="s">
        <v>4</v>
      </c>
      <c r="B7">
        <v>15.263</v>
      </c>
      <c r="C7" s="1">
        <f t="shared" si="0"/>
        <v>59067.940790000008</v>
      </c>
      <c r="D7" s="1">
        <f t="shared" si="1"/>
        <v>71472.208355900002</v>
      </c>
    </row>
    <row r="8" spans="1:10" x14ac:dyDescent="0.25">
      <c r="A8" t="s">
        <v>5</v>
      </c>
      <c r="B8">
        <v>14.553000000000001</v>
      </c>
      <c r="C8" s="1">
        <f t="shared" si="0"/>
        <v>56364.026490000011</v>
      </c>
      <c r="D8" s="1">
        <f t="shared" si="1"/>
        <v>68200.472052900004</v>
      </c>
    </row>
    <row r="9" spans="1:10" x14ac:dyDescent="0.25">
      <c r="A9" t="s">
        <v>6</v>
      </c>
      <c r="B9">
        <v>4.3170000000000002</v>
      </c>
      <c r="C9" s="1">
        <f t="shared" si="0"/>
        <v>17381.960610000006</v>
      </c>
      <c r="D9" s="1">
        <f t="shared" si="1"/>
        <v>21032.172338100005</v>
      </c>
    </row>
    <row r="10" spans="1:10" x14ac:dyDescent="0.25">
      <c r="A10" t="s">
        <v>7</v>
      </c>
      <c r="B10">
        <v>4.01</v>
      </c>
      <c r="C10" s="1">
        <f t="shared" si="0"/>
        <v>16212.8033</v>
      </c>
      <c r="D10" s="1">
        <f t="shared" si="1"/>
        <v>19617.491993</v>
      </c>
    </row>
    <row r="11" spans="1:10" x14ac:dyDescent="0.25">
      <c r="A11" t="s">
        <v>8</v>
      </c>
      <c r="B11">
        <v>13.504</v>
      </c>
      <c r="C11" s="1">
        <f t="shared" si="0"/>
        <v>52369.088320000003</v>
      </c>
      <c r="D11" s="1">
        <f t="shared" si="1"/>
        <v>63366.596867200002</v>
      </c>
    </row>
    <row r="12" spans="1:10" x14ac:dyDescent="0.25">
      <c r="A12" t="s">
        <v>9</v>
      </c>
      <c r="B12">
        <v>14.63</v>
      </c>
      <c r="C12" s="1">
        <f t="shared" si="0"/>
        <v>56657.267900000013</v>
      </c>
      <c r="D12" s="1">
        <f t="shared" si="1"/>
        <v>68555.294159000012</v>
      </c>
    </row>
    <row r="13" spans="1:10" x14ac:dyDescent="0.25">
      <c r="A13" t="s">
        <v>10</v>
      </c>
      <c r="B13">
        <v>15.401999999999999</v>
      </c>
      <c r="C13" s="1">
        <f t="shared" si="0"/>
        <v>59597.298660000008</v>
      </c>
      <c r="D13" s="1">
        <f t="shared" si="1"/>
        <v>72112.731378600001</v>
      </c>
    </row>
    <row r="14" spans="1:10" x14ac:dyDescent="0.25">
      <c r="A14" t="s">
        <v>11</v>
      </c>
      <c r="B14">
        <v>11.688000000000001</v>
      </c>
      <c r="C14" s="1">
        <f t="shared" si="0"/>
        <v>45453.161040000006</v>
      </c>
      <c r="D14" s="1">
        <f t="shared" si="1"/>
        <v>54998.324858400003</v>
      </c>
    </row>
    <row r="15" spans="1:10" x14ac:dyDescent="0.25">
      <c r="B15">
        <f t="shared" ref="B15:D15" si="2">SUM(B3:B14)</f>
        <v>148.22899999999998</v>
      </c>
      <c r="C15">
        <f t="shared" si="2"/>
        <v>575801.74757000012</v>
      </c>
      <c r="D15">
        <f t="shared" si="2"/>
        <v>696720.11455970001</v>
      </c>
    </row>
    <row r="17" spans="1:11" x14ac:dyDescent="0.25">
      <c r="A17">
        <v>2019</v>
      </c>
      <c r="B17" t="s">
        <v>13</v>
      </c>
      <c r="C17" t="s">
        <v>14</v>
      </c>
      <c r="D17" t="s">
        <v>15</v>
      </c>
      <c r="J17" t="s">
        <v>12</v>
      </c>
      <c r="K17" t="s">
        <v>15</v>
      </c>
    </row>
    <row r="18" spans="1:11" x14ac:dyDescent="0.25">
      <c r="A18" t="s">
        <v>0</v>
      </c>
      <c r="B18">
        <v>14.375999999999999</v>
      </c>
      <c r="C18" s="1">
        <f>B18*(2240.45+76.19+495+1546+28.3)+978+6.93+29</f>
        <v>64066.20343999999</v>
      </c>
      <c r="D18" s="1">
        <f>C18*1.21</f>
        <v>77520.106162399985</v>
      </c>
      <c r="G18">
        <v>2019</v>
      </c>
      <c r="H18" t="s">
        <v>20</v>
      </c>
      <c r="J18" s="2">
        <v>0</v>
      </c>
      <c r="K18">
        <v>231.64</v>
      </c>
    </row>
    <row r="19" spans="1:11" x14ac:dyDescent="0.25">
      <c r="A19" t="s">
        <v>1</v>
      </c>
      <c r="B19">
        <v>13.638</v>
      </c>
      <c r="C19" s="1">
        <f t="shared" ref="C19:C29" si="3">B19*(2240.45+76.19+495+1546+28.3)+978+6.93+29</f>
        <v>60829.379719999997</v>
      </c>
      <c r="D19" s="1">
        <f t="shared" ref="D19:D29" si="4">C19*1.21</f>
        <v>73603.549461199989</v>
      </c>
    </row>
    <row r="20" spans="1:11" x14ac:dyDescent="0.25">
      <c r="A20" t="s">
        <v>2</v>
      </c>
      <c r="B20">
        <v>13.698</v>
      </c>
      <c r="C20" s="1">
        <f t="shared" si="3"/>
        <v>61092.536119999997</v>
      </c>
      <c r="D20" s="1">
        <f t="shared" si="4"/>
        <v>73921.968705199994</v>
      </c>
    </row>
    <row r="21" spans="1:11" x14ac:dyDescent="0.25">
      <c r="A21" t="s">
        <v>3</v>
      </c>
      <c r="B21">
        <v>14.403</v>
      </c>
      <c r="C21" s="1">
        <f t="shared" si="3"/>
        <v>64184.623819999993</v>
      </c>
      <c r="D21" s="1">
        <f t="shared" si="4"/>
        <v>77663.394822199989</v>
      </c>
    </row>
    <row r="22" spans="1:11" x14ac:dyDescent="0.25">
      <c r="A22" t="s">
        <v>4</v>
      </c>
      <c r="B22">
        <v>13.808</v>
      </c>
      <c r="C22" s="1">
        <f t="shared" si="3"/>
        <v>61574.989519999996</v>
      </c>
      <c r="D22" s="1">
        <f t="shared" si="4"/>
        <v>74505.737319199994</v>
      </c>
    </row>
    <row r="23" spans="1:11" x14ac:dyDescent="0.25">
      <c r="A23" t="s">
        <v>5</v>
      </c>
      <c r="B23">
        <v>13.663</v>
      </c>
      <c r="C23" s="1">
        <f t="shared" si="3"/>
        <v>60939.028219999993</v>
      </c>
      <c r="D23" s="1">
        <f t="shared" si="4"/>
        <v>73736.224146199995</v>
      </c>
    </row>
    <row r="24" spans="1:11" x14ac:dyDescent="0.25">
      <c r="A24" t="s">
        <v>6</v>
      </c>
      <c r="B24">
        <v>3.6309999999999998</v>
      </c>
      <c r="C24" s="1">
        <f t="shared" si="3"/>
        <v>16939.278139999999</v>
      </c>
      <c r="D24" s="1">
        <f t="shared" si="4"/>
        <v>20496.526549399998</v>
      </c>
    </row>
    <row r="25" spans="1:11" x14ac:dyDescent="0.25">
      <c r="A25" t="s">
        <v>7</v>
      </c>
      <c r="B25">
        <v>3.702</v>
      </c>
      <c r="C25" s="1">
        <f t="shared" si="3"/>
        <v>17250.679879999996</v>
      </c>
      <c r="D25" s="1">
        <f t="shared" si="4"/>
        <v>20873.322654799995</v>
      </c>
    </row>
    <row r="26" spans="1:11" x14ac:dyDescent="0.25">
      <c r="A26" t="s">
        <v>8</v>
      </c>
      <c r="B26">
        <v>12.86</v>
      </c>
      <c r="C26" s="1">
        <f t="shared" si="3"/>
        <v>57417.118399999992</v>
      </c>
      <c r="D26" s="1">
        <f t="shared" si="4"/>
        <v>69474.713263999991</v>
      </c>
    </row>
    <row r="27" spans="1:11" x14ac:dyDescent="0.25">
      <c r="A27" t="s">
        <v>9</v>
      </c>
      <c r="B27">
        <v>14.225</v>
      </c>
      <c r="C27" s="1">
        <f t="shared" si="3"/>
        <v>63403.926499999994</v>
      </c>
      <c r="D27" s="1">
        <f t="shared" si="4"/>
        <v>76718.751064999989</v>
      </c>
    </row>
    <row r="28" spans="1:11" x14ac:dyDescent="0.25">
      <c r="A28" t="s">
        <v>10</v>
      </c>
      <c r="B28">
        <v>15.244</v>
      </c>
      <c r="C28" s="1">
        <f t="shared" si="3"/>
        <v>67873.199359999984</v>
      </c>
      <c r="D28" s="1">
        <f t="shared" si="4"/>
        <v>82126.571225599982</v>
      </c>
    </row>
    <row r="29" spans="1:11" x14ac:dyDescent="0.25">
      <c r="A29" t="s">
        <v>11</v>
      </c>
      <c r="B29">
        <v>11.494</v>
      </c>
      <c r="C29" s="1">
        <f t="shared" si="3"/>
        <v>51425.924359999997</v>
      </c>
      <c r="D29" s="1">
        <f t="shared" si="4"/>
        <v>62225.368475599993</v>
      </c>
    </row>
    <row r="30" spans="1:11" x14ac:dyDescent="0.25">
      <c r="B30">
        <f t="shared" ref="B30" si="5">SUM(B18:B29)</f>
        <v>144.74199999999999</v>
      </c>
      <c r="C30">
        <f t="shared" ref="C30" si="6">SUM(C18:C29)</f>
        <v>646996.8874799998</v>
      </c>
      <c r="D30">
        <f t="shared" ref="D30" si="7">SUM(D18:D29)</f>
        <v>782866.23385079997</v>
      </c>
    </row>
    <row r="32" spans="1:11" x14ac:dyDescent="0.25">
      <c r="A32">
        <v>2020</v>
      </c>
      <c r="B32" t="s">
        <v>13</v>
      </c>
      <c r="C32" t="s">
        <v>14</v>
      </c>
      <c r="D32" t="s">
        <v>15</v>
      </c>
      <c r="G32">
        <v>2020</v>
      </c>
      <c r="H32" t="s">
        <v>12</v>
      </c>
      <c r="I32" t="s">
        <v>15</v>
      </c>
    </row>
    <row r="33" spans="1:9" x14ac:dyDescent="0.25">
      <c r="A33" t="s">
        <v>0</v>
      </c>
      <c r="B33">
        <v>13.624000000000001</v>
      </c>
      <c r="C33" s="1">
        <f>B33*(1547+2269.23+77.12+28.3+495)+1008+5.08</f>
        <v>61185.5196</v>
      </c>
      <c r="D33" s="1">
        <f>C33*1.21</f>
        <v>74034.478715999998</v>
      </c>
      <c r="G33" t="s">
        <v>0</v>
      </c>
      <c r="H33">
        <v>829</v>
      </c>
      <c r="I33">
        <v>4870.67</v>
      </c>
    </row>
    <row r="34" spans="1:9" x14ac:dyDescent="0.25">
      <c r="A34" t="s">
        <v>1</v>
      </c>
      <c r="B34">
        <v>14.368</v>
      </c>
      <c r="C34" s="1">
        <f t="shared" ref="C34:C44" si="8">B34*(1547+2269.23+77.12+28.3+495)+1008+5.08</f>
        <v>64471.5072</v>
      </c>
      <c r="D34" s="1">
        <f t="shared" ref="D34:D44" si="9">C34*1.21</f>
        <v>78010.523711999995</v>
      </c>
      <c r="G34" t="s">
        <v>1</v>
      </c>
    </row>
    <row r="35" spans="1:9" x14ac:dyDescent="0.25">
      <c r="A35" t="s">
        <v>2</v>
      </c>
      <c r="B35">
        <v>7.4880000000000004</v>
      </c>
      <c r="C35" s="1">
        <f t="shared" si="8"/>
        <v>34084.955200000004</v>
      </c>
      <c r="D35" s="1">
        <f t="shared" si="9"/>
        <v>41242.795792000004</v>
      </c>
      <c r="G35" t="s">
        <v>2</v>
      </c>
    </row>
    <row r="36" spans="1:9" x14ac:dyDescent="0.25">
      <c r="A36" t="s">
        <v>3</v>
      </c>
      <c r="B36">
        <v>4.5540000000000003</v>
      </c>
      <c r="C36" s="1">
        <f t="shared" si="8"/>
        <v>21126.504100000002</v>
      </c>
      <c r="D36" s="1">
        <f t="shared" si="9"/>
        <v>25563.069961000001</v>
      </c>
      <c r="G36" t="s">
        <v>3</v>
      </c>
    </row>
    <row r="37" spans="1:9" x14ac:dyDescent="0.25">
      <c r="A37" t="s">
        <v>4</v>
      </c>
      <c r="B37">
        <v>5.258</v>
      </c>
      <c r="C37" s="1">
        <f t="shared" si="8"/>
        <v>24235.825700000001</v>
      </c>
      <c r="D37" s="1">
        <f t="shared" si="9"/>
        <v>29325.349097000002</v>
      </c>
      <c r="G37" t="s">
        <v>4</v>
      </c>
    </row>
    <row r="38" spans="1:9" x14ac:dyDescent="0.25">
      <c r="A38" t="s">
        <v>5</v>
      </c>
      <c r="B38">
        <v>5.2690000000000001</v>
      </c>
      <c r="C38" s="1">
        <f t="shared" si="8"/>
        <v>24284.40885</v>
      </c>
      <c r="D38" s="1">
        <f t="shared" si="9"/>
        <v>29384.134708499998</v>
      </c>
      <c r="G38" t="s">
        <v>5</v>
      </c>
    </row>
    <row r="39" spans="1:9" x14ac:dyDescent="0.25">
      <c r="A39" t="s">
        <v>6</v>
      </c>
      <c r="B39">
        <v>2.6240000000000001</v>
      </c>
      <c r="C39" s="1">
        <f t="shared" si="8"/>
        <v>12602.3696</v>
      </c>
      <c r="D39" s="1">
        <f t="shared" si="9"/>
        <v>15248.867215999999</v>
      </c>
      <c r="G39" t="s">
        <v>6</v>
      </c>
    </row>
    <row r="40" spans="1:9" x14ac:dyDescent="0.25">
      <c r="A40" t="s">
        <v>7</v>
      </c>
      <c r="B40">
        <v>3.7839999999999998</v>
      </c>
      <c r="C40" s="1">
        <f t="shared" si="8"/>
        <v>17725.6836</v>
      </c>
      <c r="D40" s="1">
        <f t="shared" si="9"/>
        <v>21448.077155999999</v>
      </c>
      <c r="G40" t="s">
        <v>7</v>
      </c>
    </row>
    <row r="41" spans="1:9" x14ac:dyDescent="0.25">
      <c r="A41" t="s">
        <v>8</v>
      </c>
      <c r="B41">
        <v>13.097</v>
      </c>
      <c r="C41" s="1">
        <f t="shared" si="8"/>
        <v>58857.945049999995</v>
      </c>
      <c r="D41" s="1">
        <f t="shared" si="9"/>
        <v>71218.113510499985</v>
      </c>
      <c r="G41" t="s">
        <v>8</v>
      </c>
    </row>
    <row r="42" spans="1:9" x14ac:dyDescent="0.25">
      <c r="A42" t="s">
        <v>9</v>
      </c>
      <c r="B42">
        <v>10.186999999999999</v>
      </c>
      <c r="C42" s="1">
        <f t="shared" si="8"/>
        <v>46005.493549999992</v>
      </c>
      <c r="D42" s="1">
        <f t="shared" si="9"/>
        <v>55666.647195499987</v>
      </c>
      <c r="G42" t="s">
        <v>9</v>
      </c>
    </row>
    <row r="43" spans="1:9" x14ac:dyDescent="0.25">
      <c r="A43" t="s">
        <v>10</v>
      </c>
      <c r="B43">
        <v>6.5369999999999999</v>
      </c>
      <c r="C43" s="1">
        <f t="shared" si="8"/>
        <v>29884.72105</v>
      </c>
      <c r="D43" s="1">
        <f t="shared" si="9"/>
        <v>36160.512470499998</v>
      </c>
      <c r="G43" t="s">
        <v>10</v>
      </c>
    </row>
    <row r="44" spans="1:9" x14ac:dyDescent="0.25">
      <c r="A44" t="s">
        <v>11</v>
      </c>
      <c r="B44">
        <v>10.288</v>
      </c>
      <c r="C44" s="1">
        <f t="shared" si="8"/>
        <v>46451.575199999999</v>
      </c>
      <c r="D44" s="1">
        <f t="shared" si="9"/>
        <v>56206.405992</v>
      </c>
      <c r="G44" t="s">
        <v>11</v>
      </c>
    </row>
    <row r="45" spans="1:9" x14ac:dyDescent="0.25">
      <c r="B45">
        <f t="shared" ref="B45" si="10">SUM(B33:B44)</f>
        <v>97.078000000000003</v>
      </c>
      <c r="C45">
        <f t="shared" ref="C45" si="11">SUM(C33:C44)</f>
        <v>440916.50870000001</v>
      </c>
      <c r="D45">
        <f t="shared" ref="D45" si="12">SUM(D33:D44)</f>
        <v>533508.97552699992</v>
      </c>
    </row>
    <row r="47" spans="1:9" x14ac:dyDescent="0.25">
      <c r="A47">
        <v>2018</v>
      </c>
      <c r="B47" s="2">
        <f>B15*1000</f>
        <v>148228.99999999997</v>
      </c>
      <c r="C47" s="1">
        <f>D15</f>
        <v>696720.11455970001</v>
      </c>
    </row>
    <row r="48" spans="1:9" x14ac:dyDescent="0.25">
      <c r="A48">
        <v>2019</v>
      </c>
      <c r="B48" s="2">
        <f>B30*1000</f>
        <v>144742</v>
      </c>
      <c r="C48" s="1">
        <f>D30</f>
        <v>782866.23385079997</v>
      </c>
    </row>
    <row r="49" spans="1:3" x14ac:dyDescent="0.25">
      <c r="A49">
        <v>2020</v>
      </c>
      <c r="B49" s="2">
        <f>B45*1000</f>
        <v>97078</v>
      </c>
      <c r="C49" s="1">
        <f>D45</f>
        <v>533508.97552699992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workbookViewId="0">
      <selection activeCell="N27" activeCellId="1" sqref="B27 N27"/>
    </sheetView>
  </sheetViews>
  <sheetFormatPr defaultRowHeight="15" x14ac:dyDescent="0.25"/>
  <cols>
    <col min="3" max="3" width="10" bestFit="1" customWidth="1"/>
    <col min="4" max="4" width="10.7109375" bestFit="1" customWidth="1"/>
  </cols>
  <sheetData>
    <row r="1" spans="1:23" x14ac:dyDescent="0.25">
      <c r="A1" t="s">
        <v>21</v>
      </c>
      <c r="D1" s="3" t="s">
        <v>31</v>
      </c>
      <c r="F1" t="s">
        <v>27</v>
      </c>
      <c r="M1" t="s">
        <v>28</v>
      </c>
      <c r="P1" s="3" t="s">
        <v>32</v>
      </c>
      <c r="R1" t="s">
        <v>27</v>
      </c>
    </row>
    <row r="2" spans="1:23" x14ac:dyDescent="0.25">
      <c r="A2">
        <v>2018</v>
      </c>
      <c r="B2" t="s">
        <v>22</v>
      </c>
      <c r="C2" t="s">
        <v>13</v>
      </c>
      <c r="D2" t="s">
        <v>14</v>
      </c>
      <c r="E2" t="s">
        <v>15</v>
      </c>
      <c r="F2">
        <v>31271</v>
      </c>
      <c r="H2" t="s">
        <v>23</v>
      </c>
      <c r="I2" t="s">
        <v>24</v>
      </c>
      <c r="J2" t="s">
        <v>25</v>
      </c>
      <c r="K2" t="s">
        <v>26</v>
      </c>
      <c r="M2">
        <v>2018</v>
      </c>
      <c r="N2" t="s">
        <v>22</v>
      </c>
      <c r="O2" t="s">
        <v>13</v>
      </c>
      <c r="P2" t="s">
        <v>14</v>
      </c>
      <c r="Q2" t="s">
        <v>15</v>
      </c>
      <c r="R2">
        <v>3409</v>
      </c>
      <c r="T2" t="s">
        <v>23</v>
      </c>
      <c r="U2" t="s">
        <v>24</v>
      </c>
      <c r="V2" t="s">
        <v>25</v>
      </c>
      <c r="W2" t="s">
        <v>26</v>
      </c>
    </row>
    <row r="3" spans="1:23" x14ac:dyDescent="0.25">
      <c r="A3" t="s">
        <v>0</v>
      </c>
      <c r="B3" s="2">
        <f>(F3-F2)*0.9931</f>
        <v>6301.2195000000002</v>
      </c>
      <c r="C3">
        <f>B3*10.6457/1000</f>
        <v>67.080892431150005</v>
      </c>
      <c r="D3" s="1">
        <f>H3+I3+J3+K3</f>
        <v>44973.048769030676</v>
      </c>
      <c r="E3" s="1">
        <f>D3*1.21</f>
        <v>54417.38901052712</v>
      </c>
      <c r="F3">
        <v>37616</v>
      </c>
      <c r="H3" s="1">
        <f>30.6*C3</f>
        <v>2052.6753083931903</v>
      </c>
      <c r="I3" s="1">
        <f>123.53*C3+115977.54/12*0.314</f>
        <v>11321.24827201996</v>
      </c>
      <c r="J3" s="1">
        <f>2.06*C3</f>
        <v>138.18663840816902</v>
      </c>
      <c r="K3" s="1">
        <f>469*C3</f>
        <v>31460.938550209354</v>
      </c>
      <c r="M3" t="s">
        <v>0</v>
      </c>
      <c r="N3" s="2">
        <f>(R3-R2)*0.9931</f>
        <v>1113.2651000000001</v>
      </c>
      <c r="O3">
        <f>N3*10.6457/1000</f>
        <v>11.851486275070002</v>
      </c>
      <c r="P3" s="1">
        <f>T3+U3+V3+W3</f>
        <v>7969.9888143110147</v>
      </c>
      <c r="Q3" s="1">
        <f>P3*1.21</f>
        <v>9643.6864653163284</v>
      </c>
      <c r="R3">
        <v>4530</v>
      </c>
      <c r="T3" s="1">
        <f>30.6*O3</f>
        <v>362.65548001714205</v>
      </c>
      <c r="U3" s="1">
        <f>123.53*O3+115977.54/12*0.058</f>
        <v>2024.5722095593974</v>
      </c>
      <c r="V3" s="1">
        <f>2.06*O3</f>
        <v>24.414061726644203</v>
      </c>
      <c r="W3" s="1">
        <f>469*O3</f>
        <v>5558.3470630078309</v>
      </c>
    </row>
    <row r="4" spans="1:23" x14ac:dyDescent="0.25">
      <c r="A4" t="s">
        <v>1</v>
      </c>
      <c r="B4" s="2">
        <f t="shared" ref="B4:B13" si="0">(F4-F3)*0.9931</f>
        <v>7050.0168999999996</v>
      </c>
      <c r="C4">
        <f t="shared" ref="C4:C16" si="1">B4*10.6457/1000</f>
        <v>75.052364912329992</v>
      </c>
      <c r="D4" s="1">
        <f t="shared" ref="D4:D15" si="2">H4+I4+J4+K4</f>
        <v>49956.733649539587</v>
      </c>
      <c r="E4" s="1">
        <f t="shared" ref="E4:E15" si="3">D4*1.21</f>
        <v>60447.647715942898</v>
      </c>
      <c r="F4">
        <v>44715</v>
      </c>
      <c r="H4" s="1">
        <f t="shared" ref="H4:H16" si="4">30.6*C4</f>
        <v>2296.6023663172978</v>
      </c>
      <c r="I4" s="1">
        <f t="shared" ref="I4:I13" si="5">123.53*C4+115977.54/12*0.314</f>
        <v>12305.964267620124</v>
      </c>
      <c r="J4" s="1">
        <f t="shared" ref="J4:J16" si="6">2.06*C4</f>
        <v>154.60787171939978</v>
      </c>
      <c r="K4" s="1">
        <f t="shared" ref="K4:K16" si="7">469*C4</f>
        <v>35199.559143882769</v>
      </c>
      <c r="M4" t="s">
        <v>1</v>
      </c>
      <c r="N4" s="2">
        <f t="shared" ref="N4:N15" si="8">(R4-R3)*0.9931</f>
        <v>1267.1956</v>
      </c>
      <c r="O4">
        <f t="shared" ref="O4:O15" si="9">N4*10.6457/1000</f>
        <v>13.49018419892</v>
      </c>
      <c r="P4" s="1">
        <f t="shared" ref="P4:P15" si="10">T4+U4+V4+W4</f>
        <v>8994.4863693227944</v>
      </c>
      <c r="Q4" s="1">
        <f t="shared" ref="Q4:Q15" si="11">P4*1.21</f>
        <v>10883.328506880582</v>
      </c>
      <c r="R4">
        <v>5806</v>
      </c>
      <c r="T4" s="1">
        <f t="shared" ref="T4:T15" si="12">30.6*O4</f>
        <v>412.79963648695201</v>
      </c>
      <c r="U4" s="1">
        <f t="shared" ref="U4:U13" si="13">123.53*O4+115977.54/12*0.058</f>
        <v>2227.0005640925879</v>
      </c>
      <c r="V4" s="1">
        <f t="shared" ref="V4:V15" si="14">2.06*O4</f>
        <v>27.7897794497752</v>
      </c>
      <c r="W4" s="1">
        <f t="shared" ref="W4:W15" si="15">469*O4</f>
        <v>6326.8963892934798</v>
      </c>
    </row>
    <row r="5" spans="1:23" x14ac:dyDescent="0.25">
      <c r="A5" t="s">
        <v>2</v>
      </c>
      <c r="B5" s="2">
        <f t="shared" si="0"/>
        <v>6660.7217000000001</v>
      </c>
      <c r="C5">
        <f t="shared" si="1"/>
        <v>70.908045001689999</v>
      </c>
      <c r="D5" s="1">
        <f t="shared" si="2"/>
        <v>47365.746284606576</v>
      </c>
      <c r="E5" s="1">
        <f t="shared" si="3"/>
        <v>57312.553004373956</v>
      </c>
      <c r="F5">
        <v>51422</v>
      </c>
      <c r="H5" s="1">
        <f t="shared" si="4"/>
        <v>2169.7861770517143</v>
      </c>
      <c r="I5" s="1">
        <f t="shared" si="5"/>
        <v>11794.016429058765</v>
      </c>
      <c r="J5" s="1">
        <f t="shared" si="6"/>
        <v>146.07057270348139</v>
      </c>
      <c r="K5" s="1">
        <f t="shared" si="7"/>
        <v>33255.873105792612</v>
      </c>
      <c r="M5" t="s">
        <v>2</v>
      </c>
      <c r="N5" s="2">
        <f t="shared" si="8"/>
        <v>1224.4922999999999</v>
      </c>
      <c r="O5">
        <f t="shared" si="9"/>
        <v>13.035577678109998</v>
      </c>
      <c r="P5" s="1">
        <f t="shared" si="10"/>
        <v>8710.2709185775893</v>
      </c>
      <c r="Q5" s="1">
        <f t="shared" si="11"/>
        <v>10539.427811478883</v>
      </c>
      <c r="R5">
        <v>7039</v>
      </c>
      <c r="T5" s="1">
        <f t="shared" si="12"/>
        <v>398.88867695016597</v>
      </c>
      <c r="U5" s="1">
        <f t="shared" si="13"/>
        <v>2170.8430205769282</v>
      </c>
      <c r="V5" s="1">
        <f t="shared" si="14"/>
        <v>26.853290016906598</v>
      </c>
      <c r="W5" s="1">
        <f t="shared" si="15"/>
        <v>6113.6859310335894</v>
      </c>
    </row>
    <row r="6" spans="1:23" x14ac:dyDescent="0.25">
      <c r="A6" t="s">
        <v>3</v>
      </c>
      <c r="B6" s="2">
        <f t="shared" si="0"/>
        <v>1611.8013000000001</v>
      </c>
      <c r="C6">
        <f t="shared" si="1"/>
        <v>17.158753099410003</v>
      </c>
      <c r="D6" s="1">
        <f t="shared" si="2"/>
        <v>13762.226480220141</v>
      </c>
      <c r="E6" s="1">
        <f t="shared" si="3"/>
        <v>16652.294041066369</v>
      </c>
      <c r="F6">
        <v>53045</v>
      </c>
      <c r="H6" s="1">
        <f t="shared" si="4"/>
        <v>525.05784484194612</v>
      </c>
      <c r="I6" s="1">
        <f t="shared" si="5"/>
        <v>5154.3664003701178</v>
      </c>
      <c r="J6" s="1">
        <f t="shared" si="6"/>
        <v>35.347031384784607</v>
      </c>
      <c r="K6" s="1">
        <f t="shared" si="7"/>
        <v>8047.4552036232917</v>
      </c>
      <c r="M6" t="s">
        <v>3</v>
      </c>
      <c r="N6" s="2">
        <f t="shared" si="8"/>
        <v>307.86099999999999</v>
      </c>
      <c r="O6">
        <f t="shared" si="9"/>
        <v>3.2773958476999998</v>
      </c>
      <c r="P6" s="1">
        <f t="shared" si="10"/>
        <v>2609.553220023563</v>
      </c>
      <c r="Q6" s="1">
        <f t="shared" si="11"/>
        <v>3157.5593962285111</v>
      </c>
      <c r="R6">
        <v>7349</v>
      </c>
      <c r="T6" s="1">
        <f t="shared" si="12"/>
        <v>100.28831293962</v>
      </c>
      <c r="U6" s="1">
        <f t="shared" si="13"/>
        <v>965.41481906638103</v>
      </c>
      <c r="V6" s="1">
        <f t="shared" si="14"/>
        <v>6.7514354462619997</v>
      </c>
      <c r="W6" s="1">
        <f t="shared" si="15"/>
        <v>1537.0986525712999</v>
      </c>
    </row>
    <row r="7" spans="1:23" x14ac:dyDescent="0.25">
      <c r="A7" t="s">
        <v>4</v>
      </c>
      <c r="B7" s="2">
        <f t="shared" si="0"/>
        <v>600.82550000000003</v>
      </c>
      <c r="C7">
        <f t="shared" si="1"/>
        <v>6.39620802535</v>
      </c>
      <c r="D7" s="1">
        <f t="shared" si="2"/>
        <v>7033.5909253685668</v>
      </c>
      <c r="E7" s="1">
        <f t="shared" si="3"/>
        <v>8510.6450196959649</v>
      </c>
      <c r="F7">
        <v>53650</v>
      </c>
      <c r="H7" s="1">
        <f t="shared" si="4"/>
        <v>195.72396557571</v>
      </c>
      <c r="I7" s="1">
        <f t="shared" si="5"/>
        <v>3824.8692073714856</v>
      </c>
      <c r="J7" s="1">
        <f t="shared" si="6"/>
        <v>13.176188532221</v>
      </c>
      <c r="K7" s="1">
        <f t="shared" si="7"/>
        <v>2999.8215638891502</v>
      </c>
      <c r="M7" t="s">
        <v>4</v>
      </c>
      <c r="N7" s="2">
        <f t="shared" si="8"/>
        <v>127.1168</v>
      </c>
      <c r="O7">
        <f t="shared" si="9"/>
        <v>1.35324731776</v>
      </c>
      <c r="P7" s="1">
        <f t="shared" si="10"/>
        <v>1406.5948005903745</v>
      </c>
      <c r="Q7" s="1">
        <f t="shared" si="11"/>
        <v>1701.9797087143531</v>
      </c>
      <c r="R7">
        <v>7477</v>
      </c>
      <c r="T7" s="1">
        <f t="shared" si="12"/>
        <v>41.409367923456003</v>
      </c>
      <c r="U7" s="1">
        <f t="shared" si="13"/>
        <v>727.72475116289286</v>
      </c>
      <c r="V7" s="1">
        <f t="shared" si="14"/>
        <v>2.7876894745856</v>
      </c>
      <c r="W7" s="1">
        <f t="shared" si="15"/>
        <v>634.67299202944002</v>
      </c>
    </row>
    <row r="8" spans="1:23" x14ac:dyDescent="0.25">
      <c r="A8" t="s">
        <v>5</v>
      </c>
      <c r="B8" s="2">
        <f t="shared" si="0"/>
        <v>413.12959999999998</v>
      </c>
      <c r="C8">
        <f t="shared" si="1"/>
        <v>4.3980537827199999</v>
      </c>
      <c r="D8" s="1">
        <f t="shared" si="2"/>
        <v>5784.3648744187167</v>
      </c>
      <c r="E8" s="1">
        <f t="shared" si="3"/>
        <v>6999.0814980466466</v>
      </c>
      <c r="F8">
        <v>54066</v>
      </c>
      <c r="H8" s="1">
        <f t="shared" si="4"/>
        <v>134.58044575123199</v>
      </c>
      <c r="I8" s="1">
        <f t="shared" si="5"/>
        <v>3578.0372137794016</v>
      </c>
      <c r="J8" s="1">
        <f t="shared" si="6"/>
        <v>9.0599907924031999</v>
      </c>
      <c r="K8" s="1">
        <f t="shared" si="7"/>
        <v>2062.68722409568</v>
      </c>
      <c r="M8" t="s">
        <v>5</v>
      </c>
      <c r="N8" s="2">
        <f t="shared" si="8"/>
        <v>92.3583</v>
      </c>
      <c r="O8">
        <f t="shared" si="9"/>
        <v>0.98321875431000005</v>
      </c>
      <c r="P8" s="1">
        <f t="shared" si="10"/>
        <v>1175.256643007069</v>
      </c>
      <c r="Q8" s="1">
        <f t="shared" si="11"/>
        <v>1422.0605380385534</v>
      </c>
      <c r="R8">
        <v>7570</v>
      </c>
      <c r="T8" s="1">
        <f t="shared" si="12"/>
        <v>30.086493881886003</v>
      </c>
      <c r="U8" s="1">
        <f t="shared" si="13"/>
        <v>682.01512271991442</v>
      </c>
      <c r="V8" s="1">
        <f t="shared" si="14"/>
        <v>2.0254306338786003</v>
      </c>
      <c r="W8" s="1">
        <f t="shared" si="15"/>
        <v>461.12959577139003</v>
      </c>
    </row>
    <row r="9" spans="1:23" x14ac:dyDescent="0.25">
      <c r="A9" t="s">
        <v>6</v>
      </c>
      <c r="B9" s="2">
        <f t="shared" si="0"/>
        <v>339.64019999999999</v>
      </c>
      <c r="C9">
        <f t="shared" si="1"/>
        <v>3.6157076771399996</v>
      </c>
      <c r="D9" s="1">
        <f t="shared" si="2"/>
        <v>5295.2499126711555</v>
      </c>
      <c r="E9" s="1">
        <f t="shared" si="3"/>
        <v>6407.2523943320975</v>
      </c>
      <c r="F9">
        <v>54408</v>
      </c>
      <c r="H9" s="1">
        <f t="shared" si="4"/>
        <v>110.640654920484</v>
      </c>
      <c r="I9" s="1">
        <f t="shared" si="5"/>
        <v>3481.3939993571039</v>
      </c>
      <c r="J9" s="1">
        <f t="shared" si="6"/>
        <v>7.4483578149083991</v>
      </c>
      <c r="K9" s="1">
        <f t="shared" si="7"/>
        <v>1695.7669005786597</v>
      </c>
      <c r="M9" t="s">
        <v>6</v>
      </c>
      <c r="N9" s="2">
        <f t="shared" si="8"/>
        <v>78.454899999999995</v>
      </c>
      <c r="O9">
        <f t="shared" si="9"/>
        <v>0.83520732892999994</v>
      </c>
      <c r="P9" s="1">
        <f t="shared" si="10"/>
        <v>1082.7213799737467</v>
      </c>
      <c r="Q9" s="1">
        <f t="shared" si="11"/>
        <v>1310.0928697682334</v>
      </c>
      <c r="R9">
        <v>7649</v>
      </c>
      <c r="T9" s="1">
        <f t="shared" si="12"/>
        <v>25.557344265257999</v>
      </c>
      <c r="U9" s="1">
        <f t="shared" si="13"/>
        <v>663.73127134272295</v>
      </c>
      <c r="V9" s="1">
        <f t="shared" si="14"/>
        <v>1.7205270975958</v>
      </c>
      <c r="W9" s="1">
        <f t="shared" si="15"/>
        <v>391.71223726816999</v>
      </c>
    </row>
    <row r="10" spans="1:23" x14ac:dyDescent="0.25">
      <c r="A10" t="s">
        <v>7</v>
      </c>
      <c r="B10" s="2">
        <f t="shared" si="0"/>
        <v>281.04730000000001</v>
      </c>
      <c r="C10">
        <f t="shared" si="1"/>
        <v>2.9919452416099999</v>
      </c>
      <c r="D10" s="1">
        <f t="shared" si="2"/>
        <v>4905.2798756021557</v>
      </c>
      <c r="E10" s="1">
        <f t="shared" si="3"/>
        <v>5935.3886494786084</v>
      </c>
      <c r="F10">
        <v>54691</v>
      </c>
      <c r="H10" s="1">
        <f t="shared" si="4"/>
        <v>91.553524393266002</v>
      </c>
      <c r="I10" s="1">
        <f t="shared" si="5"/>
        <v>3404.3406256960834</v>
      </c>
      <c r="J10" s="1">
        <f t="shared" si="6"/>
        <v>6.1634071977165998</v>
      </c>
      <c r="K10" s="1">
        <f t="shared" si="7"/>
        <v>1403.22231831509</v>
      </c>
      <c r="M10" t="s">
        <v>7</v>
      </c>
      <c r="N10" s="2">
        <f t="shared" si="8"/>
        <v>69.516999999999996</v>
      </c>
      <c r="O10">
        <f t="shared" si="9"/>
        <v>0.74005712689999992</v>
      </c>
      <c r="P10" s="1">
        <f t="shared" si="10"/>
        <v>1023.2344251666109</v>
      </c>
      <c r="Q10" s="1">
        <f t="shared" si="11"/>
        <v>1238.1136544515991</v>
      </c>
      <c r="R10">
        <v>7719</v>
      </c>
      <c r="T10" s="1">
        <f t="shared" si="12"/>
        <v>22.645748083139999</v>
      </c>
      <c r="U10" s="1">
        <f t="shared" si="13"/>
        <v>651.97736688595705</v>
      </c>
      <c r="V10" s="1">
        <f t="shared" si="14"/>
        <v>1.5245176814139998</v>
      </c>
      <c r="W10" s="1">
        <f t="shared" si="15"/>
        <v>347.08679251609993</v>
      </c>
    </row>
    <row r="11" spans="1:23" x14ac:dyDescent="0.25">
      <c r="A11" t="s">
        <v>8</v>
      </c>
      <c r="B11" s="2">
        <f t="shared" si="0"/>
        <v>808.38339999999994</v>
      </c>
      <c r="C11">
        <f t="shared" si="1"/>
        <v>8.6058071613799978</v>
      </c>
      <c r="D11" s="1">
        <f t="shared" si="2"/>
        <v>8415.0102092231609</v>
      </c>
      <c r="E11" s="1">
        <f t="shared" si="3"/>
        <v>10182.162353160025</v>
      </c>
      <c r="F11">
        <v>55505</v>
      </c>
      <c r="H11" s="1">
        <f t="shared" si="4"/>
        <v>263.33769913822795</v>
      </c>
      <c r="I11" s="1">
        <f t="shared" si="5"/>
        <v>4097.8209886452714</v>
      </c>
      <c r="J11" s="1">
        <f t="shared" si="6"/>
        <v>17.727962752442796</v>
      </c>
      <c r="K11" s="1">
        <f t="shared" si="7"/>
        <v>4036.123558687219</v>
      </c>
      <c r="M11" t="s">
        <v>8</v>
      </c>
      <c r="N11" s="2">
        <f t="shared" si="8"/>
        <v>172.79939999999999</v>
      </c>
      <c r="O11">
        <f t="shared" si="9"/>
        <v>1.8395705725799998</v>
      </c>
      <c r="P11" s="1">
        <f t="shared" si="10"/>
        <v>1710.63923627129</v>
      </c>
      <c r="Q11" s="1">
        <f t="shared" si="11"/>
        <v>2069.8734758882606</v>
      </c>
      <c r="R11">
        <v>7893</v>
      </c>
      <c r="T11" s="1">
        <f t="shared" si="12"/>
        <v>56.290859520947997</v>
      </c>
      <c r="U11" s="1">
        <f t="shared" si="13"/>
        <v>787.80026283080747</v>
      </c>
      <c r="V11" s="1">
        <f t="shared" si="14"/>
        <v>3.7895153795147998</v>
      </c>
      <c r="W11" s="1">
        <f t="shared" si="15"/>
        <v>862.75859854001988</v>
      </c>
    </row>
    <row r="12" spans="1:23" x14ac:dyDescent="0.25">
      <c r="A12" t="s">
        <v>9</v>
      </c>
      <c r="B12" s="2">
        <f t="shared" si="0"/>
        <v>2072.5996999999998</v>
      </c>
      <c r="C12">
        <f t="shared" si="1"/>
        <v>22.064274626289997</v>
      </c>
      <c r="D12" s="1">
        <f t="shared" si="2"/>
        <v>16829.109483610246</v>
      </c>
      <c r="E12" s="1">
        <f t="shared" si="3"/>
        <v>20363.222475168397</v>
      </c>
      <c r="F12">
        <v>57592</v>
      </c>
      <c r="H12" s="1">
        <f t="shared" si="4"/>
        <v>675.16680356447398</v>
      </c>
      <c r="I12" s="1">
        <f t="shared" si="5"/>
        <v>5760.3454745856034</v>
      </c>
      <c r="J12" s="1">
        <f t="shared" si="6"/>
        <v>45.452405730157395</v>
      </c>
      <c r="K12" s="1">
        <f t="shared" si="7"/>
        <v>10348.144799730009</v>
      </c>
      <c r="M12" t="s">
        <v>9</v>
      </c>
      <c r="N12" s="2">
        <f t="shared" si="8"/>
        <v>438.9502</v>
      </c>
      <c r="O12">
        <f t="shared" si="9"/>
        <v>4.6729321441399998</v>
      </c>
      <c r="P12" s="1">
        <f t="shared" si="10"/>
        <v>3482.0285571948866</v>
      </c>
      <c r="Q12" s="1">
        <f t="shared" si="11"/>
        <v>4213.2545542058124</v>
      </c>
      <c r="R12">
        <v>8335</v>
      </c>
      <c r="T12" s="1">
        <f t="shared" si="12"/>
        <v>142.99172361068401</v>
      </c>
      <c r="U12" s="1">
        <f t="shared" si="13"/>
        <v>1137.8054177656143</v>
      </c>
      <c r="V12" s="1">
        <f t="shared" si="14"/>
        <v>9.6262402169283998</v>
      </c>
      <c r="W12" s="1">
        <f t="shared" si="15"/>
        <v>2191.60517560166</v>
      </c>
    </row>
    <row r="13" spans="1:23" x14ac:dyDescent="0.25">
      <c r="A13" t="s">
        <v>10</v>
      </c>
      <c r="B13" s="2">
        <f t="shared" si="0"/>
        <v>2759.8249000000001</v>
      </c>
      <c r="C13">
        <f t="shared" si="1"/>
        <v>29.38026793793</v>
      </c>
      <c r="D13" s="1">
        <f t="shared" si="2"/>
        <v>21402.995342114456</v>
      </c>
      <c r="E13" s="1">
        <f t="shared" si="3"/>
        <v>25897.62436395849</v>
      </c>
      <c r="F13">
        <v>60371</v>
      </c>
      <c r="H13" s="1">
        <f t="shared" si="4"/>
        <v>899.03619890065806</v>
      </c>
      <c r="I13" s="1">
        <f t="shared" si="5"/>
        <v>6664.0901283724925</v>
      </c>
      <c r="J13" s="1">
        <f t="shared" si="6"/>
        <v>60.523351952135805</v>
      </c>
      <c r="K13" s="1">
        <f t="shared" si="7"/>
        <v>13779.345662889171</v>
      </c>
      <c r="M13" t="s">
        <v>10</v>
      </c>
      <c r="N13" s="2">
        <f t="shared" si="8"/>
        <v>613.73580000000004</v>
      </c>
      <c r="O13">
        <f t="shared" si="9"/>
        <v>6.5336472060599995</v>
      </c>
      <c r="P13" s="1">
        <f t="shared" si="10"/>
        <v>4645.3290067566513</v>
      </c>
      <c r="Q13" s="1">
        <f t="shared" si="11"/>
        <v>5620.8480981755483</v>
      </c>
      <c r="R13">
        <v>8953</v>
      </c>
      <c r="T13" s="1">
        <f t="shared" si="12"/>
        <v>199.929604505436</v>
      </c>
      <c r="U13" s="1">
        <f t="shared" si="13"/>
        <v>1367.6595493645918</v>
      </c>
      <c r="V13" s="1">
        <f t="shared" si="14"/>
        <v>13.459313244483599</v>
      </c>
      <c r="W13" s="1">
        <f t="shared" si="15"/>
        <v>3064.28053964214</v>
      </c>
    </row>
    <row r="14" spans="1:23" x14ac:dyDescent="0.25">
      <c r="B14" s="2">
        <f>(F14-F13)*0.9931</f>
        <v>727.94229999999993</v>
      </c>
      <c r="C14">
        <f t="shared" si="1"/>
        <v>7.7494553431099993</v>
      </c>
      <c r="D14" s="1">
        <f t="shared" si="2"/>
        <v>7985.9403609589399</v>
      </c>
      <c r="E14" s="1">
        <f t="shared" si="3"/>
        <v>9662.9878367603178</v>
      </c>
      <c r="F14">
        <v>61104</v>
      </c>
      <c r="H14" s="1">
        <f t="shared" si="4"/>
        <v>237.13333349916599</v>
      </c>
      <c r="I14" s="1">
        <f>123.53*C14+115977.54/12*0.325</f>
        <v>4098.3485935343779</v>
      </c>
      <c r="J14" s="1">
        <f t="shared" si="6"/>
        <v>15.963878006806599</v>
      </c>
      <c r="K14" s="1">
        <f t="shared" si="7"/>
        <v>3634.4945559185899</v>
      </c>
      <c r="N14" s="2">
        <f t="shared" si="8"/>
        <v>146.97880000000001</v>
      </c>
      <c r="O14">
        <f t="shared" si="9"/>
        <v>1.5646922111599999</v>
      </c>
      <c r="P14" s="1">
        <f t="shared" ref="P14" si="16">T14+U14+V14+W14</f>
        <v>1625.7711884951204</v>
      </c>
      <c r="Q14" s="1">
        <f t="shared" si="11"/>
        <v>1967.1831380790957</v>
      </c>
      <c r="R14">
        <v>9101</v>
      </c>
      <c r="T14" s="1">
        <f>30.6*O14</f>
        <v>47.879581661495997</v>
      </c>
      <c r="U14" s="1">
        <f>123.53*O14+115977.54/12*0.067</f>
        <v>840.82769384459482</v>
      </c>
      <c r="V14" s="1">
        <f t="shared" si="14"/>
        <v>3.2232659549895999</v>
      </c>
      <c r="W14" s="1">
        <f t="shared" si="15"/>
        <v>733.84064703403999</v>
      </c>
    </row>
    <row r="15" spans="1:23" x14ac:dyDescent="0.25">
      <c r="A15" t="s">
        <v>11</v>
      </c>
      <c r="B15" s="2">
        <f>(F15-F14)*0.9931</f>
        <v>6391.5915999999997</v>
      </c>
      <c r="C15">
        <f t="shared" si="1"/>
        <v>68.042966696120004</v>
      </c>
      <c r="D15" s="1">
        <f t="shared" si="2"/>
        <v>45680.840723747271</v>
      </c>
      <c r="E15" s="1">
        <f t="shared" si="3"/>
        <v>55273.817275734196</v>
      </c>
      <c r="F15">
        <v>67540</v>
      </c>
      <c r="H15" s="1">
        <f t="shared" si="4"/>
        <v>2082.1147809012723</v>
      </c>
      <c r="I15" s="1">
        <f>123.53*C15+115977.54/12*0.325</f>
        <v>11546.406050971706</v>
      </c>
      <c r="J15" s="1">
        <f t="shared" si="6"/>
        <v>140.16851139400723</v>
      </c>
      <c r="K15" s="1">
        <f t="shared" si="7"/>
        <v>31912.151380480282</v>
      </c>
      <c r="M15" t="s">
        <v>11</v>
      </c>
      <c r="N15" s="2">
        <f t="shared" si="8"/>
        <v>1277.1266000000001</v>
      </c>
      <c r="O15">
        <f t="shared" si="9"/>
        <v>13.59590664562</v>
      </c>
      <c r="P15" s="1">
        <f t="shared" si="10"/>
        <v>9147.5661407751668</v>
      </c>
      <c r="Q15" s="1">
        <f t="shared" si="11"/>
        <v>11068.555030337951</v>
      </c>
      <c r="R15">
        <v>10387</v>
      </c>
      <c r="T15" s="1">
        <f t="shared" si="12"/>
        <v>416.03474335597201</v>
      </c>
      <c r="U15" s="1">
        <f>123.53*O15+115977.54/12*0.067</f>
        <v>2327.0436129334385</v>
      </c>
      <c r="V15" s="1">
        <f t="shared" si="14"/>
        <v>28.007567689977201</v>
      </c>
      <c r="W15" s="1">
        <f t="shared" si="15"/>
        <v>6376.4802167957796</v>
      </c>
    </row>
    <row r="16" spans="1:23" x14ac:dyDescent="0.25">
      <c r="B16" s="2">
        <f>SUM(B3:B15)</f>
        <v>36018.743899999994</v>
      </c>
      <c r="C16">
        <f t="shared" si="1"/>
        <v>383.44474193622995</v>
      </c>
      <c r="E16" s="2">
        <f>SUM(E3:E15)</f>
        <v>338062.06563824508</v>
      </c>
      <c r="H16" s="1">
        <f t="shared" si="4"/>
        <v>11733.409103248638</v>
      </c>
      <c r="J16" s="1">
        <f t="shared" si="6"/>
        <v>789.89616838863367</v>
      </c>
      <c r="K16" s="1">
        <f t="shared" si="7"/>
        <v>179835.58396809184</v>
      </c>
      <c r="N16" s="2">
        <f>SUM(N3:N15)</f>
        <v>6929.8518000000004</v>
      </c>
      <c r="Q16" s="2">
        <f>SUM(Q3:Q15)</f>
        <v>64835.963247563712</v>
      </c>
    </row>
    <row r="18" spans="1:23" x14ac:dyDescent="0.25">
      <c r="A18" t="s">
        <v>21</v>
      </c>
      <c r="F18" t="s">
        <v>27</v>
      </c>
      <c r="M18" t="s">
        <v>28</v>
      </c>
      <c r="R18" t="s">
        <v>27</v>
      </c>
    </row>
    <row r="19" spans="1:23" x14ac:dyDescent="0.25">
      <c r="A19">
        <v>2019</v>
      </c>
      <c r="B19" t="s">
        <v>22</v>
      </c>
      <c r="C19" t="s">
        <v>13</v>
      </c>
      <c r="D19" t="s">
        <v>14</v>
      </c>
      <c r="E19" t="s">
        <v>15</v>
      </c>
      <c r="F19">
        <f>F15</f>
        <v>67540</v>
      </c>
      <c r="H19" t="s">
        <v>23</v>
      </c>
      <c r="I19" t="s">
        <v>24</v>
      </c>
      <c r="J19" t="s">
        <v>25</v>
      </c>
      <c r="K19" t="s">
        <v>26</v>
      </c>
      <c r="M19">
        <v>2019</v>
      </c>
      <c r="N19" t="s">
        <v>22</v>
      </c>
      <c r="O19" t="s">
        <v>13</v>
      </c>
      <c r="P19" t="s">
        <v>14</v>
      </c>
      <c r="Q19" t="s">
        <v>15</v>
      </c>
      <c r="R19">
        <f>R15</f>
        <v>10387</v>
      </c>
      <c r="T19" t="s">
        <v>23</v>
      </c>
      <c r="U19" t="s">
        <v>24</v>
      </c>
      <c r="V19" t="s">
        <v>25</v>
      </c>
      <c r="W19" t="s">
        <v>26</v>
      </c>
    </row>
    <row r="20" spans="1:23" x14ac:dyDescent="0.25">
      <c r="A20" t="s">
        <v>0</v>
      </c>
      <c r="B20" s="2">
        <f>(F20-F19)*0.9931</f>
        <v>7287.3678</v>
      </c>
      <c r="C20">
        <f>B20*10.6457/1000</f>
        <v>77.579131388459999</v>
      </c>
      <c r="D20" s="1">
        <f>H20+I20+J20+K20</f>
        <v>66007.093923613444</v>
      </c>
      <c r="E20" s="1">
        <f>D20*1.21</f>
        <v>79868.583647572261</v>
      </c>
      <c r="F20">
        <v>74878</v>
      </c>
      <c r="H20" s="1">
        <f>30.6*C20</f>
        <v>2373.9214204868763</v>
      </c>
      <c r="I20" s="1">
        <f>110.97*C20+115196.25/12*0.325</f>
        <v>11728.854647677406</v>
      </c>
      <c r="J20" s="1">
        <f>2.05*C20</f>
        <v>159.03721934634299</v>
      </c>
      <c r="K20" s="1">
        <f>667*C20</f>
        <v>51745.28063610282</v>
      </c>
      <c r="M20" t="s">
        <v>0</v>
      </c>
      <c r="N20" s="2">
        <f>(R20-R19)*0.9931</f>
        <v>1470.7810999999999</v>
      </c>
      <c r="O20">
        <f>N20*10.6457/1000</f>
        <v>15.65749435627</v>
      </c>
      <c r="P20" s="1">
        <f>T20+U20+V20+W20</f>
        <v>13335.457137579588</v>
      </c>
      <c r="Q20" s="1">
        <f>P20*1.21</f>
        <v>16135.903136471301</v>
      </c>
      <c r="R20">
        <v>11868</v>
      </c>
      <c r="T20" s="1">
        <f>30.6*O20</f>
        <v>479.11932730186203</v>
      </c>
      <c r="U20" s="1">
        <f>110.97*O20+115196.25/12*0.067</f>
        <v>2380.6912112152818</v>
      </c>
      <c r="V20" s="1">
        <f>2.05*O20</f>
        <v>32.097863430353499</v>
      </c>
      <c r="W20" s="1">
        <f>667*O20</f>
        <v>10443.54873563209</v>
      </c>
    </row>
    <row r="21" spans="1:23" x14ac:dyDescent="0.25">
      <c r="A21" t="s">
        <v>1</v>
      </c>
      <c r="B21" s="2">
        <f t="shared" ref="B21:B32" si="17">(F21-F20)*0.9931</f>
        <v>5696.4215999999997</v>
      </c>
      <c r="C21">
        <f t="shared" ref="C21:C32" si="18">B21*10.6457/1000</f>
        <v>60.64239542712</v>
      </c>
      <c r="D21" s="1">
        <f t="shared" ref="D21:D32" si="19">H21+I21+J21+K21</f>
        <v>52277.83701863201</v>
      </c>
      <c r="E21" s="1">
        <f t="shared" ref="E21:E32" si="20">D21*1.21</f>
        <v>63256.182792544729</v>
      </c>
      <c r="F21">
        <v>80614</v>
      </c>
      <c r="H21" s="1">
        <f t="shared" ref="H21:H32" si="21">30.6*C21</f>
        <v>1855.657300069872</v>
      </c>
      <c r="I21" s="1">
        <f t="shared" ref="I21:I29" si="22">110.97*C21+115196.25/12*0.325</f>
        <v>9849.3850580475064</v>
      </c>
      <c r="J21" s="1">
        <f t="shared" ref="J21:J32" si="23">2.05*C21</f>
        <v>124.31691062559599</v>
      </c>
      <c r="K21" s="1">
        <f t="shared" ref="K21:K32" si="24">667*C21</f>
        <v>40448.47774988904</v>
      </c>
      <c r="M21" t="s">
        <v>1</v>
      </c>
      <c r="N21" s="2">
        <f t="shared" ref="N21:N30" si="25">(R21-R20)*0.9931</f>
        <v>1143.0581</v>
      </c>
      <c r="O21">
        <f t="shared" ref="O21:O32" si="26">N21*10.6457/1000</f>
        <v>12.168653615169999</v>
      </c>
      <c r="P21" s="1">
        <f t="shared" ref="P21:P30" si="27">T21+U21+V21+W21</f>
        <v>10507.333056029105</v>
      </c>
      <c r="Q21" s="1">
        <f t="shared" ref="Q21:Q32" si="28">P21*1.21</f>
        <v>12713.872997795217</v>
      </c>
      <c r="R21">
        <v>13019</v>
      </c>
      <c r="T21" s="1">
        <f t="shared" ref="T21:T32" si="29">30.6*O21</f>
        <v>372.360800624202</v>
      </c>
      <c r="U21" s="1">
        <f t="shared" ref="U21:U30" si="30">110.97*O21+115196.25/12*0.067</f>
        <v>1993.534554175415</v>
      </c>
      <c r="V21" s="1">
        <f t="shared" ref="V21:V32" si="31">2.05*O21</f>
        <v>24.945739911098496</v>
      </c>
      <c r="W21" s="1">
        <f t="shared" ref="W21:W32" si="32">667*O21</f>
        <v>8116.4919613183893</v>
      </c>
    </row>
    <row r="22" spans="1:23" x14ac:dyDescent="0.25">
      <c r="A22" t="s">
        <v>2</v>
      </c>
      <c r="B22" s="2">
        <f t="shared" si="17"/>
        <v>4373.6124</v>
      </c>
      <c r="C22">
        <f t="shared" si="18"/>
        <v>46.560165526680002</v>
      </c>
      <c r="D22" s="1">
        <f t="shared" si="19"/>
        <v>40862.499816737341</v>
      </c>
      <c r="E22" s="1">
        <f t="shared" si="20"/>
        <v>49443.624778252182</v>
      </c>
      <c r="F22">
        <v>85018</v>
      </c>
      <c r="H22" s="1">
        <f t="shared" si="21"/>
        <v>1424.7410651164082</v>
      </c>
      <c r="I22" s="1">
        <f t="shared" si="22"/>
        <v>8286.6800059956804</v>
      </c>
      <c r="J22" s="1">
        <f t="shared" si="23"/>
        <v>95.448339329693994</v>
      </c>
      <c r="K22" s="1">
        <f t="shared" si="24"/>
        <v>31055.630406295561</v>
      </c>
      <c r="M22" t="s">
        <v>2</v>
      </c>
      <c r="N22" s="2">
        <f t="shared" si="25"/>
        <v>881.87279999999998</v>
      </c>
      <c r="O22">
        <f t="shared" si="26"/>
        <v>9.3881532669599999</v>
      </c>
      <c r="P22" s="1">
        <f t="shared" si="27"/>
        <v>8253.4038637631147</v>
      </c>
      <c r="Q22" s="1">
        <f t="shared" si="28"/>
        <v>9986.6186751533678</v>
      </c>
      <c r="R22">
        <v>13907</v>
      </c>
      <c r="T22" s="1">
        <f t="shared" si="29"/>
        <v>287.277489968976</v>
      </c>
      <c r="U22" s="1">
        <f t="shared" si="30"/>
        <v>1684.982430534551</v>
      </c>
      <c r="V22" s="1">
        <f t="shared" si="31"/>
        <v>19.245714197267997</v>
      </c>
      <c r="W22" s="1">
        <f t="shared" si="32"/>
        <v>6261.8982290623198</v>
      </c>
    </row>
    <row r="23" spans="1:23" x14ac:dyDescent="0.25">
      <c r="A23" t="s">
        <v>3</v>
      </c>
      <c r="B23" s="2">
        <f t="shared" si="17"/>
        <v>2466.8604</v>
      </c>
      <c r="C23">
        <f t="shared" si="18"/>
        <v>26.261455760279997</v>
      </c>
      <c r="D23" s="1">
        <f t="shared" si="19"/>
        <v>24407.959705898171</v>
      </c>
      <c r="E23" s="1">
        <f t="shared" si="20"/>
        <v>29533.631244136785</v>
      </c>
      <c r="F23">
        <v>87502</v>
      </c>
      <c r="H23" s="1">
        <f t="shared" si="21"/>
        <v>803.60054626456792</v>
      </c>
      <c r="I23" s="1">
        <f t="shared" si="22"/>
        <v>6034.1321832182712</v>
      </c>
      <c r="J23" s="1">
        <f t="shared" si="23"/>
        <v>53.835984308573991</v>
      </c>
      <c r="K23" s="1">
        <f t="shared" si="24"/>
        <v>17516.390992106757</v>
      </c>
      <c r="M23" t="s">
        <v>3</v>
      </c>
      <c r="N23" s="2">
        <f t="shared" si="25"/>
        <v>518.39819999999997</v>
      </c>
      <c r="O23">
        <f t="shared" si="26"/>
        <v>5.5187117177399996</v>
      </c>
      <c r="P23" s="1">
        <f t="shared" si="27"/>
        <v>5116.757155134399</v>
      </c>
      <c r="Q23" s="1">
        <f t="shared" si="28"/>
        <v>6191.276157712623</v>
      </c>
      <c r="R23">
        <v>14429</v>
      </c>
      <c r="T23" s="1">
        <f t="shared" si="29"/>
        <v>168.87257856284398</v>
      </c>
      <c r="U23" s="1">
        <f t="shared" si="30"/>
        <v>1255.5905018176077</v>
      </c>
      <c r="V23" s="1">
        <f t="shared" si="31"/>
        <v>11.313359021366999</v>
      </c>
      <c r="W23" s="1">
        <f t="shared" si="32"/>
        <v>3680.9807157325799</v>
      </c>
    </row>
    <row r="24" spans="1:23" x14ac:dyDescent="0.25">
      <c r="A24" t="s">
        <v>4</v>
      </c>
      <c r="B24" s="2">
        <f t="shared" si="17"/>
        <v>2092.4616999999998</v>
      </c>
      <c r="C24">
        <f t="shared" si="18"/>
        <v>22.27571951969</v>
      </c>
      <c r="D24" s="1">
        <f t="shared" si="19"/>
        <v>21177.042194551108</v>
      </c>
      <c r="E24" s="1">
        <f t="shared" si="20"/>
        <v>25624.221055406841</v>
      </c>
      <c r="F24">
        <v>89609</v>
      </c>
      <c r="H24" s="1">
        <f t="shared" si="21"/>
        <v>681.63701730251398</v>
      </c>
      <c r="I24" s="1">
        <f t="shared" si="22"/>
        <v>5591.8350325999991</v>
      </c>
      <c r="J24" s="1">
        <f t="shared" si="23"/>
        <v>45.665225015364499</v>
      </c>
      <c r="K24" s="1">
        <f t="shared" si="24"/>
        <v>14857.904919633231</v>
      </c>
      <c r="M24" t="s">
        <v>4</v>
      </c>
      <c r="N24" s="2">
        <f t="shared" si="25"/>
        <v>445.90190000000001</v>
      </c>
      <c r="O24">
        <f t="shared" si="26"/>
        <v>4.7469378568299998</v>
      </c>
      <c r="P24" s="1">
        <f t="shared" si="27"/>
        <v>4491.1418280035341</v>
      </c>
      <c r="Q24" s="1">
        <f t="shared" si="28"/>
        <v>5434.2816118842757</v>
      </c>
      <c r="R24">
        <v>14878</v>
      </c>
      <c r="T24" s="1">
        <f t="shared" si="29"/>
        <v>145.256298418998</v>
      </c>
      <c r="U24" s="1">
        <f t="shared" si="30"/>
        <v>1169.946756472425</v>
      </c>
      <c r="V24" s="1">
        <f t="shared" si="31"/>
        <v>9.7312226065014986</v>
      </c>
      <c r="W24" s="1">
        <f t="shared" si="32"/>
        <v>3166.20755050561</v>
      </c>
    </row>
    <row r="25" spans="1:23" x14ac:dyDescent="0.25">
      <c r="A25" t="s">
        <v>5</v>
      </c>
      <c r="B25" s="2">
        <f t="shared" si="17"/>
        <v>376.38490000000002</v>
      </c>
      <c r="C25">
        <f t="shared" si="18"/>
        <v>4.0068807299299998</v>
      </c>
      <c r="D25" s="1">
        <f t="shared" si="19"/>
        <v>6367.9560947958562</v>
      </c>
      <c r="E25" s="1">
        <f t="shared" si="20"/>
        <v>7705.2268747029857</v>
      </c>
      <c r="F25">
        <v>89988</v>
      </c>
      <c r="H25" s="1">
        <f t="shared" si="21"/>
        <v>122.61055033585799</v>
      </c>
      <c r="I25" s="1">
        <f t="shared" si="22"/>
        <v>3564.5419921003322</v>
      </c>
      <c r="J25" s="1">
        <f t="shared" si="23"/>
        <v>8.214105496356499</v>
      </c>
      <c r="K25" s="1">
        <f t="shared" si="24"/>
        <v>2672.5894468633101</v>
      </c>
      <c r="M25" t="s">
        <v>5</v>
      </c>
      <c r="N25" s="2">
        <f t="shared" si="25"/>
        <v>118.1789</v>
      </c>
      <c r="O25">
        <f t="shared" si="26"/>
        <v>1.25809711573</v>
      </c>
      <c r="P25" s="1">
        <f t="shared" si="27"/>
        <v>1663.0177464530527</v>
      </c>
      <c r="Q25" s="1">
        <f t="shared" si="28"/>
        <v>2012.2514732081938</v>
      </c>
      <c r="R25">
        <v>14997</v>
      </c>
      <c r="T25" s="1">
        <f t="shared" si="29"/>
        <v>38.497771741338006</v>
      </c>
      <c r="U25" s="1">
        <f t="shared" si="30"/>
        <v>782.79009943255812</v>
      </c>
      <c r="V25" s="1">
        <f t="shared" si="31"/>
        <v>2.5790990872465001</v>
      </c>
      <c r="W25" s="1">
        <f t="shared" si="32"/>
        <v>839.15077619191004</v>
      </c>
    </row>
    <row r="26" spans="1:23" x14ac:dyDescent="0.25">
      <c r="A26" t="s">
        <v>6</v>
      </c>
      <c r="B26" s="2">
        <f t="shared" si="17"/>
        <v>466.75700000000001</v>
      </c>
      <c r="C26">
        <f t="shared" si="18"/>
        <v>4.9689549948999998</v>
      </c>
      <c r="D26" s="1">
        <f t="shared" si="19"/>
        <v>7147.8327354658377</v>
      </c>
      <c r="E26" s="1">
        <f t="shared" si="20"/>
        <v>8648.877609913663</v>
      </c>
      <c r="F26">
        <v>90458</v>
      </c>
      <c r="H26" s="1">
        <f t="shared" si="21"/>
        <v>152.05002284394001</v>
      </c>
      <c r="I26" s="1">
        <f t="shared" si="22"/>
        <v>3671.3033732840531</v>
      </c>
      <c r="J26" s="1">
        <f t="shared" si="23"/>
        <v>10.186357739544999</v>
      </c>
      <c r="K26" s="1">
        <f t="shared" si="24"/>
        <v>3314.2929815982998</v>
      </c>
      <c r="M26" t="s">
        <v>6</v>
      </c>
      <c r="N26" s="2">
        <f t="shared" si="25"/>
        <v>137.0478</v>
      </c>
      <c r="O26">
        <f t="shared" si="26"/>
        <v>1.4589697644599999</v>
      </c>
      <c r="P26" s="1">
        <f t="shared" si="27"/>
        <v>1825.8491329665651</v>
      </c>
      <c r="Q26" s="1">
        <f t="shared" si="28"/>
        <v>2209.2774508895436</v>
      </c>
      <c r="R26">
        <v>15135</v>
      </c>
      <c r="T26" s="1">
        <f t="shared" si="29"/>
        <v>44.644474792475997</v>
      </c>
      <c r="U26" s="1">
        <f t="shared" si="30"/>
        <v>805.08093726212621</v>
      </c>
      <c r="V26" s="1">
        <f t="shared" si="31"/>
        <v>2.9908880171429995</v>
      </c>
      <c r="W26" s="1">
        <f t="shared" si="32"/>
        <v>973.1328328948199</v>
      </c>
    </row>
    <row r="27" spans="1:23" x14ac:dyDescent="0.25">
      <c r="A27" t="s">
        <v>7</v>
      </c>
      <c r="B27" s="2">
        <f t="shared" si="17"/>
        <v>432.99160000000001</v>
      </c>
      <c r="C27">
        <f t="shared" si="18"/>
        <v>4.6094986761199994</v>
      </c>
      <c r="D27" s="1">
        <f t="shared" si="19"/>
        <v>6856.4502543363933</v>
      </c>
      <c r="E27" s="1">
        <f t="shared" si="20"/>
        <v>8296.3048077470357</v>
      </c>
      <c r="F27">
        <v>90894</v>
      </c>
      <c r="H27" s="1">
        <f t="shared" si="21"/>
        <v>141.05065948927199</v>
      </c>
      <c r="I27" s="1">
        <f t="shared" si="22"/>
        <v>3631.4145055890363</v>
      </c>
      <c r="J27" s="1">
        <f t="shared" si="23"/>
        <v>9.4494722860459976</v>
      </c>
      <c r="K27" s="1">
        <f t="shared" si="24"/>
        <v>3074.5356169720394</v>
      </c>
      <c r="M27" t="s">
        <v>7</v>
      </c>
      <c r="N27" s="2">
        <f t="shared" si="25"/>
        <v>131.08920000000001</v>
      </c>
      <c r="O27">
        <f t="shared" si="26"/>
        <v>1.3955362964400002</v>
      </c>
      <c r="P27" s="1">
        <f t="shared" si="27"/>
        <v>1774.428695120193</v>
      </c>
      <c r="Q27" s="1">
        <f t="shared" si="28"/>
        <v>2147.0587210954336</v>
      </c>
      <c r="R27">
        <v>15267</v>
      </c>
      <c r="T27" s="1">
        <f t="shared" si="29"/>
        <v>42.703410671064006</v>
      </c>
      <c r="U27" s="1">
        <f t="shared" si="30"/>
        <v>798.04172531594679</v>
      </c>
      <c r="V27" s="1">
        <f t="shared" si="31"/>
        <v>2.8608494077020001</v>
      </c>
      <c r="W27" s="1">
        <f t="shared" si="32"/>
        <v>930.82270972548019</v>
      </c>
    </row>
    <row r="28" spans="1:23" x14ac:dyDescent="0.25">
      <c r="A28" t="s">
        <v>8</v>
      </c>
      <c r="B28" s="2">
        <f t="shared" si="17"/>
        <v>1046.7274</v>
      </c>
      <c r="C28">
        <f t="shared" si="18"/>
        <v>11.143145882179999</v>
      </c>
      <c r="D28" s="1">
        <f t="shared" si="19"/>
        <v>12152.755352512751</v>
      </c>
      <c r="E28" s="1">
        <f t="shared" si="20"/>
        <v>14704.833976540429</v>
      </c>
      <c r="F28">
        <v>91948</v>
      </c>
      <c r="H28" s="1">
        <f t="shared" si="21"/>
        <v>340.98026399470797</v>
      </c>
      <c r="I28" s="1">
        <f t="shared" si="22"/>
        <v>4356.4533360455143</v>
      </c>
      <c r="J28" s="1">
        <f t="shared" si="23"/>
        <v>22.843449058468995</v>
      </c>
      <c r="K28" s="1">
        <f t="shared" si="24"/>
        <v>7432.4783034140592</v>
      </c>
      <c r="M28" t="s">
        <v>8</v>
      </c>
      <c r="N28" s="2">
        <f t="shared" si="25"/>
        <v>247.28190000000001</v>
      </c>
      <c r="O28">
        <f t="shared" si="26"/>
        <v>2.6324889228299999</v>
      </c>
      <c r="P28" s="1">
        <f t="shared" si="27"/>
        <v>2777.1272331244545</v>
      </c>
      <c r="Q28" s="1">
        <f t="shared" si="28"/>
        <v>3360.3239520805901</v>
      </c>
      <c r="R28">
        <v>15516</v>
      </c>
      <c r="T28" s="1">
        <f t="shared" si="29"/>
        <v>80.554161038597996</v>
      </c>
      <c r="U28" s="1">
        <f t="shared" si="30"/>
        <v>935.30635826644516</v>
      </c>
      <c r="V28" s="1">
        <f t="shared" si="31"/>
        <v>5.3966022918014991</v>
      </c>
      <c r="W28" s="1">
        <f t="shared" si="32"/>
        <v>1755.8701115276099</v>
      </c>
    </row>
    <row r="29" spans="1:23" x14ac:dyDescent="0.25">
      <c r="A29" t="s">
        <v>9</v>
      </c>
      <c r="B29" s="2">
        <f t="shared" si="17"/>
        <v>2206.6682000000001</v>
      </c>
      <c r="C29">
        <f t="shared" si="18"/>
        <v>23.491527656740001</v>
      </c>
      <c r="D29" s="1">
        <f t="shared" si="19"/>
        <v>22162.600586606579</v>
      </c>
      <c r="E29" s="1">
        <f t="shared" si="20"/>
        <v>26816.746709793959</v>
      </c>
      <c r="F29">
        <v>94170</v>
      </c>
      <c r="H29" s="1">
        <f t="shared" si="21"/>
        <v>718.84074629624411</v>
      </c>
      <c r="I29" s="1">
        <f t="shared" si="22"/>
        <v>5726.7532615684377</v>
      </c>
      <c r="J29" s="1">
        <f t="shared" si="23"/>
        <v>48.157631696316997</v>
      </c>
      <c r="K29" s="1">
        <f t="shared" si="24"/>
        <v>15668.848947045581</v>
      </c>
      <c r="M29" t="s">
        <v>9</v>
      </c>
      <c r="N29" s="2">
        <f t="shared" si="25"/>
        <v>474.70179999999999</v>
      </c>
      <c r="O29">
        <f t="shared" si="26"/>
        <v>5.0535329522599994</v>
      </c>
      <c r="P29" s="1">
        <f t="shared" si="27"/>
        <v>4739.6739442610005</v>
      </c>
      <c r="Q29" s="1">
        <f t="shared" si="28"/>
        <v>5735.0054725558102</v>
      </c>
      <c r="R29">
        <v>15994</v>
      </c>
      <c r="T29" s="1">
        <f t="shared" si="29"/>
        <v>154.63810833915599</v>
      </c>
      <c r="U29" s="1">
        <f t="shared" si="30"/>
        <v>1203.9696142122921</v>
      </c>
      <c r="V29" s="1">
        <f t="shared" si="31"/>
        <v>10.359742552132998</v>
      </c>
      <c r="W29" s="1">
        <f t="shared" si="32"/>
        <v>3370.7064791574198</v>
      </c>
    </row>
    <row r="30" spans="1:23" x14ac:dyDescent="0.25">
      <c r="A30" t="s">
        <v>10</v>
      </c>
      <c r="B30" s="2">
        <f t="shared" si="17"/>
        <v>3406.3330000000001</v>
      </c>
      <c r="C30">
        <f t="shared" si="18"/>
        <v>36.2627992181</v>
      </c>
      <c r="D30" s="1">
        <f t="shared" si="19"/>
        <v>32284.856239676221</v>
      </c>
      <c r="E30" s="1">
        <f t="shared" si="20"/>
        <v>39064.676050008224</v>
      </c>
      <c r="F30">
        <v>97600</v>
      </c>
      <c r="H30" s="1">
        <f t="shared" si="21"/>
        <v>1109.6416560738601</v>
      </c>
      <c r="I30" s="1">
        <f>110.97*C30+115196.25/12*0.301</f>
        <v>6913.5887667325569</v>
      </c>
      <c r="J30" s="1">
        <f t="shared" si="23"/>
        <v>74.33873839710499</v>
      </c>
      <c r="K30" s="1">
        <f t="shared" si="24"/>
        <v>24187.287078472698</v>
      </c>
      <c r="M30" t="s">
        <v>10</v>
      </c>
      <c r="N30" s="2">
        <f t="shared" si="25"/>
        <v>687.22519999999997</v>
      </c>
      <c r="O30">
        <f t="shared" si="26"/>
        <v>7.3159933116399998</v>
      </c>
      <c r="P30" s="1">
        <f t="shared" si="27"/>
        <v>6573.6695607816164</v>
      </c>
      <c r="Q30" s="1">
        <f t="shared" si="28"/>
        <v>7954.1401685457558</v>
      </c>
      <c r="R30">
        <v>16686</v>
      </c>
      <c r="T30" s="1">
        <f t="shared" si="29"/>
        <v>223.869395336184</v>
      </c>
      <c r="U30" s="1">
        <f t="shared" si="30"/>
        <v>1455.0348402926907</v>
      </c>
      <c r="V30" s="1">
        <f t="shared" si="31"/>
        <v>14.997786288861999</v>
      </c>
      <c r="W30" s="1">
        <f t="shared" si="32"/>
        <v>4879.76753886388</v>
      </c>
    </row>
    <row r="31" spans="1:23" x14ac:dyDescent="0.25">
      <c r="B31" s="2">
        <f t="shared" si="17"/>
        <v>715.03200000000004</v>
      </c>
      <c r="C31">
        <f t="shared" si="18"/>
        <v>7.6120161623999998</v>
      </c>
      <c r="D31" s="1">
        <f t="shared" ref="D31" si="33">H31+I31+J31+K31</f>
        <v>9059.9584790646877</v>
      </c>
      <c r="E31" s="1">
        <f t="shared" si="20"/>
        <v>10962.549759668273</v>
      </c>
      <c r="F31">
        <v>98320</v>
      </c>
      <c r="H31" s="1">
        <f t="shared" si="21"/>
        <v>232.92769456944001</v>
      </c>
      <c r="I31" s="1">
        <f t="shared" ref="I31:I32" si="34">110.97*C31+115196.25/12*0.301</f>
        <v>3734.2113710415279</v>
      </c>
      <c r="J31" s="1">
        <f t="shared" si="23"/>
        <v>15.604633132919998</v>
      </c>
      <c r="K31" s="1">
        <f t="shared" si="24"/>
        <v>5077.2147803207999</v>
      </c>
      <c r="N31" s="2">
        <f t="shared" ref="N31:N32" si="35">(R31-R30)*0.9931</f>
        <v>129.10300000000001</v>
      </c>
      <c r="O31">
        <f t="shared" si="26"/>
        <v>1.3743918071000001</v>
      </c>
      <c r="P31" s="1">
        <f t="shared" ref="P31:P32" si="36">T31+U31+V31+W31</f>
        <v>1651.691986671402</v>
      </c>
      <c r="Q31" s="1">
        <f t="shared" si="28"/>
        <v>1998.5473038723962</v>
      </c>
      <c r="R31">
        <v>16816</v>
      </c>
      <c r="T31" s="1">
        <f t="shared" si="29"/>
        <v>42.056389297260004</v>
      </c>
      <c r="U31" s="1">
        <f>110.97*O31+115196.25/12*0.056</f>
        <v>690.09875883388702</v>
      </c>
      <c r="V31" s="1">
        <f t="shared" si="31"/>
        <v>2.8175032045549999</v>
      </c>
      <c r="W31" s="1">
        <f t="shared" si="32"/>
        <v>916.71933533570007</v>
      </c>
    </row>
    <row r="32" spans="1:23" x14ac:dyDescent="0.25">
      <c r="A32" t="s">
        <v>11</v>
      </c>
      <c r="B32" s="2">
        <f t="shared" si="17"/>
        <v>5551.4290000000001</v>
      </c>
      <c r="C32">
        <f t="shared" si="18"/>
        <v>59.098847705300003</v>
      </c>
      <c r="D32" s="1">
        <f t="shared" si="19"/>
        <v>50796.213864370293</v>
      </c>
      <c r="E32" s="1">
        <f t="shared" si="20"/>
        <v>61463.418775888051</v>
      </c>
      <c r="F32">
        <v>103910</v>
      </c>
      <c r="H32" s="1">
        <f t="shared" si="21"/>
        <v>1808.4247397821803</v>
      </c>
      <c r="I32" s="1">
        <f t="shared" si="34"/>
        <v>9447.7050673571412</v>
      </c>
      <c r="J32" s="1">
        <f t="shared" si="23"/>
        <v>121.15263779586499</v>
      </c>
      <c r="K32" s="1">
        <f t="shared" si="24"/>
        <v>39418.931419435103</v>
      </c>
      <c r="M32" t="s">
        <v>11</v>
      </c>
      <c r="N32" s="2">
        <f t="shared" si="35"/>
        <v>1026.8653999999999</v>
      </c>
      <c r="O32">
        <f t="shared" si="26"/>
        <v>10.931700988779999</v>
      </c>
      <c r="P32" s="1">
        <f t="shared" si="36"/>
        <v>9399.0379555248437</v>
      </c>
      <c r="Q32" s="1">
        <f t="shared" si="28"/>
        <v>11372.83592618506</v>
      </c>
      <c r="R32">
        <v>17850</v>
      </c>
      <c r="T32" s="1">
        <f t="shared" si="29"/>
        <v>334.51005025666802</v>
      </c>
      <c r="U32" s="1">
        <f>110.97*O32+115196.25/12*0.056</f>
        <v>1750.6733587249164</v>
      </c>
      <c r="V32" s="1">
        <f t="shared" si="31"/>
        <v>22.409987026998998</v>
      </c>
      <c r="W32" s="1">
        <f t="shared" si="32"/>
        <v>7291.4445595162597</v>
      </c>
    </row>
    <row r="33" spans="1:23" x14ac:dyDescent="0.25">
      <c r="B33" s="2">
        <f>SUM(B20:B32)</f>
        <v>36119.047000000006</v>
      </c>
      <c r="E33" s="2">
        <f>SUM(E20:E32)</f>
        <v>425388.87808217539</v>
      </c>
      <c r="N33" s="2">
        <f>SUM(N20:N32)</f>
        <v>7411.5052999999998</v>
      </c>
      <c r="Q33" s="2">
        <f>SUM(Q20:Q32)</f>
        <v>87251.393047449557</v>
      </c>
    </row>
    <row r="35" spans="1:23" x14ac:dyDescent="0.25">
      <c r="A35" t="s">
        <v>21</v>
      </c>
      <c r="F35" t="s">
        <v>27</v>
      </c>
      <c r="M35" t="s">
        <v>28</v>
      </c>
      <c r="R35" t="s">
        <v>27</v>
      </c>
    </row>
    <row r="36" spans="1:23" x14ac:dyDescent="0.25">
      <c r="A36">
        <v>2020</v>
      </c>
      <c r="B36" t="s">
        <v>22</v>
      </c>
      <c r="C36" t="s">
        <v>13</v>
      </c>
      <c r="D36" t="s">
        <v>14</v>
      </c>
      <c r="E36" t="s">
        <v>15</v>
      </c>
      <c r="F36">
        <f>F32</f>
        <v>103910</v>
      </c>
      <c r="H36" t="s">
        <v>23</v>
      </c>
      <c r="I36" t="s">
        <v>24</v>
      </c>
      <c r="J36" t="s">
        <v>25</v>
      </c>
      <c r="K36" t="s">
        <v>26</v>
      </c>
      <c r="M36">
        <v>2019</v>
      </c>
      <c r="N36" t="s">
        <v>22</v>
      </c>
      <c r="O36" t="s">
        <v>13</v>
      </c>
      <c r="P36" t="s">
        <v>14</v>
      </c>
      <c r="Q36" t="s">
        <v>15</v>
      </c>
      <c r="R36">
        <f>R32</f>
        <v>17850</v>
      </c>
      <c r="T36" t="s">
        <v>23</v>
      </c>
      <c r="U36" t="s">
        <v>24</v>
      </c>
      <c r="V36" t="s">
        <v>25</v>
      </c>
      <c r="W36" t="s">
        <v>26</v>
      </c>
    </row>
    <row r="37" spans="1:23" x14ac:dyDescent="0.25">
      <c r="A37" t="s">
        <v>0</v>
      </c>
      <c r="B37" s="2">
        <f>(F37-F36)*0.9931</f>
        <v>6394.5708999999997</v>
      </c>
      <c r="C37">
        <f>B37*10.6457/1000</f>
        <v>68.074683430129994</v>
      </c>
      <c r="D37" s="1">
        <f>H37+I37+J37+K37</f>
        <v>49113.211928382894</v>
      </c>
      <c r="E37" s="1">
        <f>D37*1.21</f>
        <v>59426.9864333433</v>
      </c>
      <c r="F37">
        <v>110349</v>
      </c>
      <c r="H37" s="1">
        <f>30.6*C37</f>
        <v>2083.0853129619777</v>
      </c>
      <c r="I37" s="1">
        <f>110.9*C37+115480.21/12*0.301</f>
        <v>10446.11099323475</v>
      </c>
      <c r="J37" s="1">
        <f>2.41*C37</f>
        <v>164.0599870666133</v>
      </c>
      <c r="K37" s="1">
        <f>535*C37</f>
        <v>36419.95563511955</v>
      </c>
      <c r="M37" t="s">
        <v>0</v>
      </c>
      <c r="N37" s="2">
        <f>(R37-R36)*0.9931</f>
        <v>1179.8027999999999</v>
      </c>
      <c r="O37">
        <f>N37*10.6457/1000</f>
        <v>12.559826667959998</v>
      </c>
      <c r="P37" s="1">
        <f>T37+U37+V37+W37</f>
        <v>9065.8995698113886</v>
      </c>
      <c r="Q37" s="1">
        <f>P37*1.21</f>
        <v>10969.73847947178</v>
      </c>
      <c r="R37">
        <v>19038</v>
      </c>
      <c r="T37" s="1">
        <f>30.6*O37</f>
        <v>384.33069603957597</v>
      </c>
      <c r="U37" s="1">
        <f>110.9*O37+115480.21/12*0.056</f>
        <v>1931.7924241434303</v>
      </c>
      <c r="V37" s="1">
        <f>2.41*O37</f>
        <v>30.269182269783595</v>
      </c>
      <c r="W37" s="1">
        <f>535*O37</f>
        <v>6719.5072673585992</v>
      </c>
    </row>
    <row r="38" spans="1:23" x14ac:dyDescent="0.25">
      <c r="A38" t="s">
        <v>1</v>
      </c>
      <c r="B38" s="2">
        <f t="shared" ref="B38:B49" si="37">(F38-F37)*0.9931</f>
        <v>4524.5635999999995</v>
      </c>
      <c r="C38">
        <f t="shared" ref="C38:C49" si="38">B38*10.6457/1000</f>
        <v>48.167146716519994</v>
      </c>
      <c r="D38" s="1">
        <f t="shared" ref="D38:D49" si="39">H38+I38+J38+K38</f>
        <v>35597.786178145921</v>
      </c>
      <c r="E38" s="1">
        <f t="shared" ref="E38:E49" si="40">D38*1.21</f>
        <v>43073.321275556562</v>
      </c>
      <c r="F38">
        <v>114905</v>
      </c>
      <c r="H38" s="1">
        <f t="shared" ref="H38:H47" si="41">30.6*C38</f>
        <v>1473.9146895255119</v>
      </c>
      <c r="I38" s="1">
        <f t="shared" ref="I38:I47" si="42">110.9*C38+115480.21/12*0.301</f>
        <v>8238.3651716954009</v>
      </c>
      <c r="J38" s="1">
        <f t="shared" ref="J38:J47" si="43">2.41*C38</f>
        <v>116.08282358681319</v>
      </c>
      <c r="K38" s="1">
        <f t="shared" ref="K38:K47" si="44">535*C38</f>
        <v>25769.423493338196</v>
      </c>
      <c r="M38" t="s">
        <v>1</v>
      </c>
      <c r="N38" s="2">
        <f t="shared" ref="N38:N49" si="45">(R38-R37)*0.9931</f>
        <v>827.25229999999999</v>
      </c>
      <c r="O38">
        <f t="shared" ref="O38:O49" si="46">N38*10.6457/1000</f>
        <v>8.8066798101099995</v>
      </c>
      <c r="P38" s="1">
        <f t="shared" ref="P38:P47" si="47">T38+U38+V38+W38</f>
        <v>6517.8506365484463</v>
      </c>
      <c r="Q38" s="1">
        <f t="shared" ref="Q38:Q47" si="48">P38*1.21</f>
        <v>7886.5992702236199</v>
      </c>
      <c r="R38">
        <v>19871</v>
      </c>
      <c r="T38" s="1">
        <f t="shared" ref="T38:T47" si="49">30.6*O38</f>
        <v>269.48440218936599</v>
      </c>
      <c r="U38" s="1">
        <f t="shared" ref="U38:U47" si="50">110.9*O38+115480.21/12*0.056</f>
        <v>1515.5684376078657</v>
      </c>
      <c r="V38" s="1">
        <f t="shared" ref="V38:V47" si="51">2.41*O38</f>
        <v>21.2240983423651</v>
      </c>
      <c r="W38" s="1">
        <f t="shared" ref="W38:W47" si="52">535*O38</f>
        <v>4711.5736984088499</v>
      </c>
    </row>
    <row r="39" spans="1:23" x14ac:dyDescent="0.25">
      <c r="A39" t="s">
        <v>2</v>
      </c>
      <c r="B39" s="2">
        <f t="shared" si="37"/>
        <v>4777.8041000000003</v>
      </c>
      <c r="C39">
        <f t="shared" si="38"/>
        <v>50.863069107370002</v>
      </c>
      <c r="D39" s="1">
        <f t="shared" si="39"/>
        <v>37428.074848517907</v>
      </c>
      <c r="E39" s="1">
        <f t="shared" si="40"/>
        <v>45287.970566706666</v>
      </c>
      <c r="F39">
        <v>119716</v>
      </c>
      <c r="H39" s="1">
        <f t="shared" si="41"/>
        <v>1556.4099146855222</v>
      </c>
      <c r="I39" s="1">
        <f t="shared" si="42"/>
        <v>8537.3429648406673</v>
      </c>
      <c r="J39" s="1">
        <f t="shared" si="43"/>
        <v>122.57999654876171</v>
      </c>
      <c r="K39" s="1">
        <f t="shared" si="44"/>
        <v>27211.741972442953</v>
      </c>
      <c r="M39" t="s">
        <v>2</v>
      </c>
      <c r="N39" s="2">
        <f t="shared" si="45"/>
        <v>874.92110000000002</v>
      </c>
      <c r="O39">
        <f t="shared" si="46"/>
        <v>9.3141475542700007</v>
      </c>
      <c r="P39" s="1">
        <f t="shared" si="47"/>
        <v>6862.3755627361134</v>
      </c>
      <c r="Q39" s="1">
        <f t="shared" si="48"/>
        <v>8303.4744309106973</v>
      </c>
      <c r="R39">
        <v>20752</v>
      </c>
      <c r="T39" s="1">
        <f t="shared" si="49"/>
        <v>285.01291516066203</v>
      </c>
      <c r="U39" s="1">
        <f t="shared" si="50"/>
        <v>1571.8466104352096</v>
      </c>
      <c r="V39" s="1">
        <f t="shared" si="51"/>
        <v>22.447095605790704</v>
      </c>
      <c r="W39" s="1">
        <f t="shared" si="52"/>
        <v>4983.0689415344505</v>
      </c>
    </row>
    <row r="40" spans="1:23" x14ac:dyDescent="0.25">
      <c r="A40" t="s">
        <v>3</v>
      </c>
      <c r="B40" s="2">
        <f t="shared" si="37"/>
        <v>2598.9427000000001</v>
      </c>
      <c r="C40">
        <f t="shared" si="38"/>
        <v>27.667564301390001</v>
      </c>
      <c r="D40" s="1">
        <f t="shared" si="39"/>
        <v>21680.414680690017</v>
      </c>
      <c r="E40" s="1">
        <f t="shared" si="40"/>
        <v>26233.301763634921</v>
      </c>
      <c r="F40">
        <v>122333</v>
      </c>
      <c r="H40" s="1">
        <f t="shared" si="41"/>
        <v>846.62746762253403</v>
      </c>
      <c r="I40" s="1">
        <f t="shared" si="42"/>
        <v>5964.9614818574846</v>
      </c>
      <c r="J40" s="1">
        <f t="shared" si="43"/>
        <v>66.678829966349909</v>
      </c>
      <c r="K40" s="1">
        <f t="shared" si="44"/>
        <v>14802.14690124365</v>
      </c>
      <c r="M40" t="s">
        <v>3</v>
      </c>
      <c r="N40" s="2">
        <f t="shared" si="45"/>
        <v>482.64659999999998</v>
      </c>
      <c r="O40">
        <f t="shared" si="46"/>
        <v>5.1381109096199999</v>
      </c>
      <c r="P40" s="1">
        <f t="shared" si="47"/>
        <v>4027.2225243167809</v>
      </c>
      <c r="Q40" s="1">
        <f t="shared" si="48"/>
        <v>4872.9392544233051</v>
      </c>
      <c r="R40">
        <v>21238</v>
      </c>
      <c r="T40" s="1">
        <f t="shared" si="49"/>
        <v>157.226193834372</v>
      </c>
      <c r="U40" s="1">
        <f t="shared" si="50"/>
        <v>1108.7241465435247</v>
      </c>
      <c r="V40" s="1">
        <f t="shared" si="51"/>
        <v>12.3828472921842</v>
      </c>
      <c r="W40" s="1">
        <f t="shared" si="52"/>
        <v>2748.8893366467</v>
      </c>
    </row>
    <row r="41" spans="1:23" x14ac:dyDescent="0.25">
      <c r="A41" t="s">
        <v>4</v>
      </c>
      <c r="B41" s="2">
        <f t="shared" si="37"/>
        <v>1684.2975999999999</v>
      </c>
      <c r="C41">
        <f t="shared" si="38"/>
        <v>17.930526960319998</v>
      </c>
      <c r="D41" s="1">
        <f t="shared" si="39"/>
        <v>15069.842659464182</v>
      </c>
      <c r="E41" s="1">
        <f t="shared" si="40"/>
        <v>18234.509617951659</v>
      </c>
      <c r="F41">
        <v>124029</v>
      </c>
      <c r="H41" s="1">
        <f t="shared" si="41"/>
        <v>548.67412498579199</v>
      </c>
      <c r="I41" s="1">
        <f t="shared" si="42"/>
        <v>4885.1240407328214</v>
      </c>
      <c r="J41" s="1">
        <f t="shared" si="43"/>
        <v>43.212569974371199</v>
      </c>
      <c r="K41" s="1">
        <f t="shared" si="44"/>
        <v>9592.8319237711985</v>
      </c>
      <c r="M41" t="s">
        <v>4</v>
      </c>
      <c r="N41" s="2">
        <f t="shared" si="45"/>
        <v>326.72989999999999</v>
      </c>
      <c r="O41">
        <f t="shared" si="46"/>
        <v>3.4782684964299997</v>
      </c>
      <c r="P41" s="1">
        <f t="shared" si="47"/>
        <v>2900.3389115779578</v>
      </c>
      <c r="Q41" s="1">
        <f t="shared" si="48"/>
        <v>3509.4100830093289</v>
      </c>
      <c r="R41">
        <v>21567</v>
      </c>
      <c r="T41" s="1">
        <f t="shared" si="49"/>
        <v>106.43501599075799</v>
      </c>
      <c r="U41" s="1">
        <f t="shared" si="50"/>
        <v>924.64762292075363</v>
      </c>
      <c r="V41" s="1">
        <f t="shared" si="51"/>
        <v>8.3826270763963002</v>
      </c>
      <c r="W41" s="1">
        <f t="shared" si="52"/>
        <v>1860.8736455900498</v>
      </c>
    </row>
    <row r="42" spans="1:23" x14ac:dyDescent="0.25">
      <c r="A42" t="s">
        <v>5</v>
      </c>
      <c r="B42" s="2">
        <f t="shared" si="37"/>
        <v>712.05269999999996</v>
      </c>
      <c r="C42">
        <f t="shared" si="38"/>
        <v>7.58029942839</v>
      </c>
      <c r="D42" s="1">
        <f t="shared" si="39"/>
        <v>8042.9696857615891</v>
      </c>
      <c r="E42" s="1">
        <f t="shared" si="40"/>
        <v>9731.9933197715218</v>
      </c>
      <c r="F42">
        <v>124746</v>
      </c>
      <c r="H42" s="1">
        <f t="shared" si="41"/>
        <v>231.957162508734</v>
      </c>
      <c r="I42" s="1">
        <f t="shared" si="42"/>
        <v>3737.2838074417846</v>
      </c>
      <c r="J42" s="1">
        <f t="shared" si="43"/>
        <v>18.2685216224199</v>
      </c>
      <c r="K42" s="1">
        <f t="shared" si="44"/>
        <v>4055.4601941886499</v>
      </c>
      <c r="M42" t="s">
        <v>5</v>
      </c>
      <c r="N42" s="2">
        <f t="shared" si="45"/>
        <v>150.9512</v>
      </c>
      <c r="O42">
        <f t="shared" si="46"/>
        <v>1.6069811898400002</v>
      </c>
      <c r="P42" s="1">
        <f t="shared" si="47"/>
        <v>1629.9032462609412</v>
      </c>
      <c r="Q42" s="1">
        <f t="shared" si="48"/>
        <v>1972.1829279757387</v>
      </c>
      <c r="R42">
        <v>21719</v>
      </c>
      <c r="T42" s="1">
        <f t="shared" si="49"/>
        <v>49.173624409104008</v>
      </c>
      <c r="U42" s="1">
        <f t="shared" si="50"/>
        <v>717.1218606199227</v>
      </c>
      <c r="V42" s="1">
        <f t="shared" si="51"/>
        <v>3.8728246675144007</v>
      </c>
      <c r="W42" s="1">
        <f t="shared" si="52"/>
        <v>859.73493656440007</v>
      </c>
    </row>
    <row r="43" spans="1:23" x14ac:dyDescent="0.25">
      <c r="A43" t="s">
        <v>6</v>
      </c>
      <c r="B43" s="2">
        <f t="shared" si="37"/>
        <v>561.10149999999999</v>
      </c>
      <c r="C43">
        <f t="shared" si="38"/>
        <v>5.9733182385499992</v>
      </c>
      <c r="D43" s="1">
        <f t="shared" si="39"/>
        <v>6951.9740861673126</v>
      </c>
      <c r="E43" s="1">
        <f t="shared" si="40"/>
        <v>8411.888644262448</v>
      </c>
      <c r="F43">
        <v>125311</v>
      </c>
      <c r="H43" s="1">
        <f t="shared" si="41"/>
        <v>182.78353809962999</v>
      </c>
      <c r="I43" s="1">
        <f t="shared" si="42"/>
        <v>3559.0695934885284</v>
      </c>
      <c r="J43" s="1">
        <f t="shared" si="43"/>
        <v>14.3956969549055</v>
      </c>
      <c r="K43" s="1">
        <f t="shared" si="44"/>
        <v>3195.7252576242495</v>
      </c>
      <c r="M43" t="s">
        <v>6</v>
      </c>
      <c r="N43" s="2">
        <f t="shared" si="45"/>
        <v>127.1168</v>
      </c>
      <c r="O43">
        <f t="shared" si="46"/>
        <v>1.35324731776</v>
      </c>
      <c r="P43" s="1">
        <f t="shared" si="47"/>
        <v>1457.6407831671083</v>
      </c>
      <c r="Q43" s="1">
        <f t="shared" si="48"/>
        <v>1763.7453476322009</v>
      </c>
      <c r="R43">
        <v>21847</v>
      </c>
      <c r="T43" s="1">
        <f t="shared" si="49"/>
        <v>41.409367923456003</v>
      </c>
      <c r="U43" s="1">
        <f t="shared" si="50"/>
        <v>688.98277420625072</v>
      </c>
      <c r="V43" s="1">
        <f t="shared" si="51"/>
        <v>3.2613260358016003</v>
      </c>
      <c r="W43" s="1">
        <f t="shared" si="52"/>
        <v>723.9873150016</v>
      </c>
    </row>
    <row r="44" spans="1:23" x14ac:dyDescent="0.25">
      <c r="A44" t="s">
        <v>7</v>
      </c>
      <c r="B44" s="2">
        <f t="shared" si="37"/>
        <v>474.70179999999999</v>
      </c>
      <c r="C44">
        <f t="shared" si="38"/>
        <v>5.0535329522599994</v>
      </c>
      <c r="D44" s="1">
        <f t="shared" si="39"/>
        <v>6327.5226574521703</v>
      </c>
      <c r="E44" s="1">
        <f t="shared" si="40"/>
        <v>7656.3024155171261</v>
      </c>
      <c r="F44">
        <v>125789</v>
      </c>
      <c r="H44" s="1">
        <f t="shared" si="41"/>
        <v>154.63810833915599</v>
      </c>
      <c r="I44" s="1">
        <f t="shared" si="42"/>
        <v>3457.0654052389677</v>
      </c>
      <c r="J44" s="1">
        <f t="shared" si="43"/>
        <v>12.1790144149466</v>
      </c>
      <c r="K44" s="1">
        <f t="shared" si="44"/>
        <v>2703.6401294590996</v>
      </c>
      <c r="M44" t="s">
        <v>7</v>
      </c>
      <c r="N44" s="2">
        <f t="shared" si="45"/>
        <v>114.20649999999999</v>
      </c>
      <c r="O44">
        <f t="shared" si="46"/>
        <v>1.21580813705</v>
      </c>
      <c r="P44" s="1">
        <f t="shared" si="47"/>
        <v>1364.3319489912824</v>
      </c>
      <c r="Q44" s="1">
        <f t="shared" si="48"/>
        <v>1650.8416582794516</v>
      </c>
      <c r="R44">
        <v>21962</v>
      </c>
      <c r="T44" s="1">
        <f t="shared" si="49"/>
        <v>37.203728993730003</v>
      </c>
      <c r="U44" s="1">
        <f t="shared" si="50"/>
        <v>673.7407690655117</v>
      </c>
      <c r="V44" s="1">
        <f t="shared" si="51"/>
        <v>2.9300976102905003</v>
      </c>
      <c r="W44" s="1">
        <f t="shared" si="52"/>
        <v>650.45735332175002</v>
      </c>
    </row>
    <row r="45" spans="1:23" x14ac:dyDescent="0.25">
      <c r="A45" t="s">
        <v>8</v>
      </c>
      <c r="B45" s="2">
        <f t="shared" si="37"/>
        <v>930.53469999999993</v>
      </c>
      <c r="C45">
        <f t="shared" si="38"/>
        <v>9.906193255789999</v>
      </c>
      <c r="D45" s="1">
        <f t="shared" si="39"/>
        <v>9622.0422641217228</v>
      </c>
      <c r="E45" s="1">
        <f t="shared" si="40"/>
        <v>11642.671139587284</v>
      </c>
      <c r="F45">
        <v>126726</v>
      </c>
      <c r="H45" s="1">
        <f t="shared" si="41"/>
        <v>303.12951362717399</v>
      </c>
      <c r="I45" s="1">
        <f t="shared" si="42"/>
        <v>3995.2254329004445</v>
      </c>
      <c r="J45" s="1">
        <f t="shared" si="43"/>
        <v>23.873925746453899</v>
      </c>
      <c r="K45" s="1">
        <f t="shared" si="44"/>
        <v>5299.8133918476497</v>
      </c>
      <c r="M45" t="s">
        <v>8</v>
      </c>
      <c r="N45" s="2">
        <f t="shared" si="45"/>
        <v>193.65449999999998</v>
      </c>
      <c r="O45">
        <f t="shared" si="46"/>
        <v>2.0615877106499996</v>
      </c>
      <c r="P45" s="1">
        <f t="shared" si="47"/>
        <v>1938.5401593040579</v>
      </c>
      <c r="Q45" s="1">
        <f t="shared" si="48"/>
        <v>2345.6335927579098</v>
      </c>
      <c r="R45">
        <v>22157</v>
      </c>
      <c r="T45" s="1">
        <f t="shared" si="49"/>
        <v>63.084583945889989</v>
      </c>
      <c r="U45" s="1">
        <f t="shared" si="50"/>
        <v>767.53772377775158</v>
      </c>
      <c r="V45" s="1">
        <f t="shared" si="51"/>
        <v>4.9684263826664994</v>
      </c>
      <c r="W45" s="1">
        <f t="shared" si="52"/>
        <v>1102.9494251977499</v>
      </c>
    </row>
    <row r="46" spans="1:23" x14ac:dyDescent="0.25">
      <c r="A46" t="s">
        <v>9</v>
      </c>
      <c r="B46" s="2">
        <f t="shared" si="37"/>
        <v>2532.4049999999997</v>
      </c>
      <c r="C46">
        <f t="shared" si="38"/>
        <v>26.959223908499997</v>
      </c>
      <c r="D46" s="1">
        <f t="shared" si="39"/>
        <v>21199.515304553068</v>
      </c>
      <c r="E46" s="1">
        <f t="shared" si="40"/>
        <v>25651.413518509213</v>
      </c>
      <c r="F46">
        <v>129276</v>
      </c>
      <c r="H46" s="1">
        <f t="shared" si="41"/>
        <v>824.95225160009988</v>
      </c>
      <c r="I46" s="1">
        <f t="shared" si="42"/>
        <v>5886.4065322859833</v>
      </c>
      <c r="J46" s="1">
        <f t="shared" si="43"/>
        <v>64.971729619484989</v>
      </c>
      <c r="K46" s="1">
        <f t="shared" si="44"/>
        <v>14423.184791047499</v>
      </c>
      <c r="M46" t="s">
        <v>9</v>
      </c>
      <c r="N46" s="2">
        <f t="shared" si="45"/>
        <v>473.70869999999996</v>
      </c>
      <c r="O46">
        <f t="shared" si="46"/>
        <v>5.0429607075899998</v>
      </c>
      <c r="P46" s="1">
        <f t="shared" si="47"/>
        <v>3962.6241006565933</v>
      </c>
      <c r="Q46" s="1">
        <f t="shared" si="48"/>
        <v>4794.7751617944778</v>
      </c>
      <c r="R46">
        <v>22634</v>
      </c>
      <c r="T46" s="1">
        <f t="shared" si="49"/>
        <v>154.31459765225401</v>
      </c>
      <c r="U46" s="1">
        <f t="shared" si="50"/>
        <v>1098.1719891383977</v>
      </c>
      <c r="V46" s="1">
        <f t="shared" si="51"/>
        <v>12.1535353052919</v>
      </c>
      <c r="W46" s="1">
        <f t="shared" si="52"/>
        <v>2697.98397856065</v>
      </c>
    </row>
    <row r="47" spans="1:23" x14ac:dyDescent="0.25">
      <c r="A47" t="s">
        <v>10</v>
      </c>
      <c r="B47" s="2">
        <f t="shared" si="37"/>
        <v>2985.2586000000001</v>
      </c>
      <c r="C47">
        <f t="shared" si="38"/>
        <v>31.780167478020001</v>
      </c>
      <c r="D47" s="1">
        <f t="shared" si="39"/>
        <v>24472.502103335893</v>
      </c>
      <c r="E47" s="1">
        <f t="shared" si="40"/>
        <v>29611.727545036429</v>
      </c>
      <c r="F47">
        <v>132282</v>
      </c>
      <c r="H47" s="1">
        <f t="shared" si="41"/>
        <v>972.47312482741211</v>
      </c>
      <c r="I47" s="1">
        <f t="shared" si="42"/>
        <v>6421.0491741457517</v>
      </c>
      <c r="J47" s="1">
        <f t="shared" si="43"/>
        <v>76.590203622028213</v>
      </c>
      <c r="K47" s="1">
        <f t="shared" si="44"/>
        <v>17002.389600740702</v>
      </c>
      <c r="M47" t="s">
        <v>10</v>
      </c>
      <c r="N47" s="2">
        <f t="shared" si="45"/>
        <v>554.14980000000003</v>
      </c>
      <c r="O47">
        <f t="shared" si="46"/>
        <v>5.8993125258600001</v>
      </c>
      <c r="P47" s="1">
        <f t="shared" si="47"/>
        <v>4544.0099135982791</v>
      </c>
      <c r="Q47" s="1">
        <f t="shared" si="48"/>
        <v>5498.2519954539175</v>
      </c>
      <c r="R47">
        <v>23192</v>
      </c>
      <c r="T47" s="1">
        <f t="shared" si="49"/>
        <v>180.518963291316</v>
      </c>
      <c r="U47" s="1">
        <f t="shared" si="50"/>
        <v>1193.1414057845407</v>
      </c>
      <c r="V47" s="1">
        <f t="shared" si="51"/>
        <v>14.217343187322601</v>
      </c>
      <c r="W47" s="1">
        <f t="shared" si="52"/>
        <v>3156.1322013351</v>
      </c>
    </row>
    <row r="48" spans="1:23" x14ac:dyDescent="0.25">
      <c r="B48" s="2"/>
      <c r="C48">
        <f t="shared" si="38"/>
        <v>0</v>
      </c>
      <c r="D48" s="1"/>
      <c r="E48" s="1"/>
      <c r="H48" s="1"/>
      <c r="I48" s="1"/>
      <c r="J48" s="1"/>
      <c r="K48" s="1"/>
      <c r="N48" s="2"/>
      <c r="O48">
        <f t="shared" si="46"/>
        <v>0</v>
      </c>
      <c r="P48" s="1"/>
      <c r="Q48" s="1"/>
      <c r="T48" s="1"/>
      <c r="U48" s="1"/>
      <c r="V48" s="1"/>
      <c r="W48" s="1"/>
    </row>
    <row r="49" spans="1:23" x14ac:dyDescent="0.25">
      <c r="A49" s="3" t="s">
        <v>11</v>
      </c>
      <c r="B49" s="2">
        <f t="shared" si="37"/>
        <v>0</v>
      </c>
      <c r="C49">
        <f t="shared" si="38"/>
        <v>0</v>
      </c>
      <c r="D49" s="1">
        <f t="shared" si="39"/>
        <v>0</v>
      </c>
      <c r="E49" s="1">
        <f t="shared" si="40"/>
        <v>0</v>
      </c>
      <c r="H49" s="1"/>
      <c r="I49" s="1"/>
      <c r="J49" s="1"/>
      <c r="K49" s="1"/>
      <c r="M49" s="3" t="s">
        <v>11</v>
      </c>
      <c r="N49" s="2">
        <f t="shared" si="45"/>
        <v>0</v>
      </c>
      <c r="O49">
        <f t="shared" si="46"/>
        <v>0</v>
      </c>
      <c r="P49" s="1"/>
      <c r="Q49" s="1"/>
      <c r="T49" s="1"/>
      <c r="U49" s="1"/>
      <c r="V49" s="1"/>
      <c r="W49" s="1"/>
    </row>
    <row r="50" spans="1:23" x14ac:dyDescent="0.25">
      <c r="B50" s="2">
        <f>SUM(B37:B49)</f>
        <v>28176.233199999999</v>
      </c>
      <c r="E50" s="2">
        <f>SUM(E37:E49)</f>
        <v>284962.08623987716</v>
      </c>
      <c r="N50" s="2">
        <f>SUM(N37:N49)</f>
        <v>5305.1401999999998</v>
      </c>
      <c r="Q50" s="2">
        <f>SUM(Q37:Q49)</f>
        <v>53567.592201932435</v>
      </c>
    </row>
    <row r="51" spans="1:23" x14ac:dyDescent="0.25">
      <c r="A51" t="s">
        <v>29</v>
      </c>
    </row>
    <row r="53" spans="1:23" x14ac:dyDescent="0.25">
      <c r="A53">
        <v>2018</v>
      </c>
      <c r="B53" s="1">
        <f>B16+N16</f>
        <v>42948.595699999991</v>
      </c>
      <c r="C53" s="1">
        <f>E16+Q16</f>
        <v>402898.02888580877</v>
      </c>
    </row>
    <row r="54" spans="1:23" x14ac:dyDescent="0.25">
      <c r="A54">
        <v>2019</v>
      </c>
      <c r="B54" s="1">
        <f>B33+N33</f>
        <v>43530.552300000003</v>
      </c>
      <c r="C54" s="1">
        <f>E33+Q33</f>
        <v>512640.27112962492</v>
      </c>
    </row>
    <row r="55" spans="1:23" x14ac:dyDescent="0.25">
      <c r="A55">
        <v>2020</v>
      </c>
      <c r="B55" s="1">
        <f>B50+N50</f>
        <v>33481.373399999997</v>
      </c>
      <c r="C55" s="1">
        <f>E50+Q50</f>
        <v>338529.67844180961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16" workbookViewId="0">
      <selection activeCell="K53" sqref="K53"/>
    </sheetView>
  </sheetViews>
  <sheetFormatPr defaultRowHeight="15" x14ac:dyDescent="0.25"/>
  <cols>
    <col min="3" max="3" width="10" bestFit="1" customWidth="1"/>
  </cols>
  <sheetData>
    <row r="1" spans="1:3" x14ac:dyDescent="0.25">
      <c r="C1" t="s">
        <v>30</v>
      </c>
    </row>
    <row r="2" spans="1:3" x14ac:dyDescent="0.25">
      <c r="A2">
        <v>2018</v>
      </c>
      <c r="B2" t="s">
        <v>22</v>
      </c>
      <c r="C2" t="s">
        <v>15</v>
      </c>
    </row>
    <row r="3" spans="1:3" x14ac:dyDescent="0.25">
      <c r="A3" t="s">
        <v>0</v>
      </c>
      <c r="B3">
        <f>100+67</f>
        <v>167</v>
      </c>
      <c r="C3" s="1">
        <f>B3*(43.55+35.85)*1.15</f>
        <v>15248.77</v>
      </c>
    </row>
    <row r="4" spans="1:3" x14ac:dyDescent="0.25">
      <c r="A4" t="s">
        <v>1</v>
      </c>
      <c r="B4">
        <f>96+64</f>
        <v>160</v>
      </c>
      <c r="C4" s="1">
        <f t="shared" ref="C4:C14" si="0">B4*(43.55+35.85)*1.15</f>
        <v>14609.599999999999</v>
      </c>
    </row>
    <row r="5" spans="1:3" x14ac:dyDescent="0.25">
      <c r="A5" t="s">
        <v>2</v>
      </c>
      <c r="B5">
        <f>127+84</f>
        <v>211</v>
      </c>
      <c r="C5" s="1">
        <f t="shared" si="0"/>
        <v>19266.41</v>
      </c>
    </row>
    <row r="6" spans="1:3" x14ac:dyDescent="0.25">
      <c r="A6" t="s">
        <v>3</v>
      </c>
      <c r="B6">
        <f>110+74</f>
        <v>184</v>
      </c>
      <c r="C6" s="1">
        <f t="shared" si="0"/>
        <v>16801.04</v>
      </c>
    </row>
    <row r="7" spans="1:3" x14ac:dyDescent="0.25">
      <c r="A7" t="s">
        <v>4</v>
      </c>
      <c r="B7">
        <f>131+88</f>
        <v>219</v>
      </c>
      <c r="C7" s="1">
        <f t="shared" si="0"/>
        <v>19996.89</v>
      </c>
    </row>
    <row r="8" spans="1:3" x14ac:dyDescent="0.25">
      <c r="A8" t="s">
        <v>5</v>
      </c>
      <c r="B8">
        <f>137+92</f>
        <v>229</v>
      </c>
      <c r="C8" s="1">
        <f t="shared" si="0"/>
        <v>20909.990000000002</v>
      </c>
    </row>
    <row r="9" spans="1:3" x14ac:dyDescent="0.25">
      <c r="A9" t="s">
        <v>6</v>
      </c>
      <c r="B9">
        <f>30+20</f>
        <v>50</v>
      </c>
      <c r="C9" s="1">
        <f t="shared" si="0"/>
        <v>4565.5</v>
      </c>
    </row>
    <row r="10" spans="1:3" x14ac:dyDescent="0.25">
      <c r="A10" t="s">
        <v>7</v>
      </c>
      <c r="B10">
        <f>28+18</f>
        <v>46</v>
      </c>
      <c r="C10" s="1">
        <f t="shared" si="0"/>
        <v>4200.26</v>
      </c>
    </row>
    <row r="11" spans="1:3" x14ac:dyDescent="0.25">
      <c r="A11" t="s">
        <v>8</v>
      </c>
      <c r="B11">
        <f>72+48</f>
        <v>120</v>
      </c>
      <c r="C11" s="1">
        <f t="shared" si="0"/>
        <v>10957.199999999999</v>
      </c>
    </row>
    <row r="12" spans="1:3" x14ac:dyDescent="0.25">
      <c r="A12" t="s">
        <v>9</v>
      </c>
      <c r="B12">
        <f>130+87</f>
        <v>217</v>
      </c>
      <c r="C12" s="1">
        <f t="shared" si="0"/>
        <v>19814.27</v>
      </c>
    </row>
    <row r="13" spans="1:3" x14ac:dyDescent="0.25">
      <c r="A13" t="s">
        <v>10</v>
      </c>
      <c r="B13">
        <f>113+75</f>
        <v>188</v>
      </c>
      <c r="C13" s="1">
        <f t="shared" si="0"/>
        <v>17166.28</v>
      </c>
    </row>
    <row r="14" spans="1:3" x14ac:dyDescent="0.25">
      <c r="A14" t="s">
        <v>11</v>
      </c>
      <c r="B14">
        <f>106+71</f>
        <v>177</v>
      </c>
      <c r="C14" s="1">
        <f t="shared" si="0"/>
        <v>16161.87</v>
      </c>
    </row>
    <row r="15" spans="1:3" x14ac:dyDescent="0.25">
      <c r="B15" s="2">
        <f t="shared" ref="B15:C15" si="1">SUM(B3:B14)</f>
        <v>1968</v>
      </c>
      <c r="C15" s="1">
        <f t="shared" si="1"/>
        <v>179698.08</v>
      </c>
    </row>
    <row r="17" spans="1:3" x14ac:dyDescent="0.25">
      <c r="C17" t="s">
        <v>30</v>
      </c>
    </row>
    <row r="18" spans="1:3" x14ac:dyDescent="0.25">
      <c r="A18">
        <v>2019</v>
      </c>
      <c r="B18" t="s">
        <v>22</v>
      </c>
      <c r="C18" t="s">
        <v>15</v>
      </c>
    </row>
    <row r="19" spans="1:3" x14ac:dyDescent="0.25">
      <c r="A19" t="s">
        <v>0</v>
      </c>
      <c r="B19">
        <f>96+64</f>
        <v>160</v>
      </c>
      <c r="C19" s="1">
        <f>B19*(45.53+37.48)*1.15</f>
        <v>15273.839999999997</v>
      </c>
    </row>
    <row r="20" spans="1:3" x14ac:dyDescent="0.25">
      <c r="A20" t="s">
        <v>1</v>
      </c>
      <c r="B20">
        <f>140+93</f>
        <v>233</v>
      </c>
      <c r="C20" s="1">
        <f t="shared" ref="C20:C30" si="2">B20*(45.53+37.48)*1.15</f>
        <v>22242.529499999997</v>
      </c>
    </row>
    <row r="21" spans="1:3" x14ac:dyDescent="0.25">
      <c r="A21" t="s">
        <v>2</v>
      </c>
      <c r="B21">
        <f>81+54</f>
        <v>135</v>
      </c>
      <c r="C21" s="1">
        <f t="shared" si="2"/>
        <v>12887.302499999998</v>
      </c>
    </row>
    <row r="22" spans="1:3" x14ac:dyDescent="0.25">
      <c r="A22" t="s">
        <v>3</v>
      </c>
      <c r="B22">
        <f>160+106</f>
        <v>266</v>
      </c>
      <c r="C22" s="1">
        <f t="shared" si="2"/>
        <v>25392.758999999995</v>
      </c>
    </row>
    <row r="23" spans="1:3" x14ac:dyDescent="0.25">
      <c r="A23" t="s">
        <v>4</v>
      </c>
      <c r="B23">
        <f>112+75</f>
        <v>187</v>
      </c>
      <c r="C23" s="1">
        <f t="shared" si="2"/>
        <v>17851.300499999998</v>
      </c>
    </row>
    <row r="24" spans="1:3" x14ac:dyDescent="0.25">
      <c r="A24" t="s">
        <v>5</v>
      </c>
      <c r="B24">
        <f>178+118</f>
        <v>296</v>
      </c>
      <c r="C24" s="1">
        <f t="shared" si="2"/>
        <v>28256.603999999996</v>
      </c>
    </row>
    <row r="25" spans="1:3" x14ac:dyDescent="0.25">
      <c r="A25" t="s">
        <v>6</v>
      </c>
      <c r="B25">
        <f>21+14</f>
        <v>35</v>
      </c>
      <c r="C25" s="1">
        <f t="shared" si="2"/>
        <v>3341.1524999999992</v>
      </c>
    </row>
    <row r="26" spans="1:3" x14ac:dyDescent="0.25">
      <c r="A26" t="s">
        <v>7</v>
      </c>
      <c r="B26">
        <f>11+7</f>
        <v>18</v>
      </c>
      <c r="C26" s="1">
        <f t="shared" si="2"/>
        <v>1718.3069999999998</v>
      </c>
    </row>
    <row r="27" spans="1:3" x14ac:dyDescent="0.25">
      <c r="A27" t="s">
        <v>8</v>
      </c>
      <c r="B27">
        <f>89+59</f>
        <v>148</v>
      </c>
      <c r="C27" s="1">
        <f t="shared" si="2"/>
        <v>14128.301999999998</v>
      </c>
    </row>
    <row r="28" spans="1:3" x14ac:dyDescent="0.25">
      <c r="A28" t="s">
        <v>9</v>
      </c>
      <c r="B28">
        <f>124+82</f>
        <v>206</v>
      </c>
      <c r="C28" s="1">
        <f t="shared" si="2"/>
        <v>19665.068999999996</v>
      </c>
    </row>
    <row r="29" spans="1:3" x14ac:dyDescent="0.25">
      <c r="A29" t="s">
        <v>10</v>
      </c>
      <c r="B29">
        <f>123+82</f>
        <v>205</v>
      </c>
      <c r="C29" s="1">
        <f t="shared" si="2"/>
        <v>19569.607499999998</v>
      </c>
    </row>
    <row r="30" spans="1:3" x14ac:dyDescent="0.25">
      <c r="A30" t="s">
        <v>11</v>
      </c>
      <c r="B30">
        <f>92+62</f>
        <v>154</v>
      </c>
      <c r="C30" s="1">
        <f t="shared" si="2"/>
        <v>14701.070999999998</v>
      </c>
    </row>
    <row r="31" spans="1:3" x14ac:dyDescent="0.25">
      <c r="B31" s="2">
        <f t="shared" ref="B31" si="3">SUM(B19:B30)</f>
        <v>2043</v>
      </c>
      <c r="C31" s="1">
        <f t="shared" ref="C31" si="4">SUM(C19:C30)</f>
        <v>195027.84449999995</v>
      </c>
    </row>
    <row r="33" spans="1:3" x14ac:dyDescent="0.25">
      <c r="C33" t="s">
        <v>30</v>
      </c>
    </row>
    <row r="34" spans="1:3" x14ac:dyDescent="0.25">
      <c r="A34">
        <v>2020</v>
      </c>
      <c r="B34" t="s">
        <v>22</v>
      </c>
      <c r="C34" t="s">
        <v>15</v>
      </c>
    </row>
    <row r="35" spans="1:3" x14ac:dyDescent="0.25">
      <c r="A35" t="s">
        <v>0</v>
      </c>
      <c r="B35">
        <f>181+121</f>
        <v>302</v>
      </c>
      <c r="C35" s="1">
        <f>B35*(47.61+39.18)*1.15</f>
        <v>30142.166999999994</v>
      </c>
    </row>
    <row r="36" spans="1:3" x14ac:dyDescent="0.25">
      <c r="A36" t="s">
        <v>1</v>
      </c>
      <c r="B36">
        <f>142+95</f>
        <v>237</v>
      </c>
      <c r="C36" s="1">
        <f t="shared" ref="C36:C46" si="5">B36*(47.61+39.18)*1.15</f>
        <v>23654.614499999996</v>
      </c>
    </row>
    <row r="37" spans="1:3" x14ac:dyDescent="0.25">
      <c r="A37" t="s">
        <v>2</v>
      </c>
      <c r="B37">
        <f>18+12</f>
        <v>30</v>
      </c>
      <c r="C37" s="1">
        <f t="shared" si="5"/>
        <v>2994.2549999999997</v>
      </c>
    </row>
    <row r="38" spans="1:3" x14ac:dyDescent="0.25">
      <c r="A38" t="s">
        <v>3</v>
      </c>
      <c r="B38">
        <f>59+40</f>
        <v>99</v>
      </c>
      <c r="C38" s="1">
        <f t="shared" si="5"/>
        <v>9881.0414999999975</v>
      </c>
    </row>
    <row r="39" spans="1:3" x14ac:dyDescent="0.25">
      <c r="A39" t="s">
        <v>4</v>
      </c>
      <c r="B39">
        <f>19+13</f>
        <v>32</v>
      </c>
      <c r="C39" s="1">
        <f t="shared" si="5"/>
        <v>3193.8719999999994</v>
      </c>
    </row>
    <row r="40" spans="1:3" x14ac:dyDescent="0.25">
      <c r="A40" t="s">
        <v>5</v>
      </c>
      <c r="B40">
        <f>41+28</f>
        <v>69</v>
      </c>
      <c r="C40" s="1">
        <f t="shared" si="5"/>
        <v>6886.7864999999983</v>
      </c>
    </row>
    <row r="41" spans="1:3" x14ac:dyDescent="0.25">
      <c r="A41" t="s">
        <v>6</v>
      </c>
      <c r="B41">
        <f>8+5</f>
        <v>13</v>
      </c>
      <c r="C41" s="1">
        <f t="shared" si="5"/>
        <v>1297.5104999999999</v>
      </c>
    </row>
    <row r="42" spans="1:3" x14ac:dyDescent="0.25">
      <c r="A42" t="s">
        <v>7</v>
      </c>
      <c r="B42">
        <v>0</v>
      </c>
      <c r="C42" s="1">
        <f t="shared" si="5"/>
        <v>0</v>
      </c>
    </row>
    <row r="43" spans="1:3" x14ac:dyDescent="0.25">
      <c r="A43" t="s">
        <v>8</v>
      </c>
      <c r="B43">
        <f>106+70</f>
        <v>176</v>
      </c>
      <c r="C43" s="1">
        <f t="shared" si="5"/>
        <v>17566.295999999998</v>
      </c>
    </row>
    <row r="44" spans="1:3" x14ac:dyDescent="0.25">
      <c r="A44" t="s">
        <v>9</v>
      </c>
      <c r="B44">
        <f>53+35</f>
        <v>88</v>
      </c>
      <c r="C44" s="1">
        <f t="shared" si="5"/>
        <v>8783.1479999999992</v>
      </c>
    </row>
    <row r="45" spans="1:3" x14ac:dyDescent="0.25">
      <c r="A45" t="s">
        <v>10</v>
      </c>
      <c r="B45">
        <f>16+10</f>
        <v>26</v>
      </c>
      <c r="C45" s="1">
        <f t="shared" si="5"/>
        <v>2595.0209999999997</v>
      </c>
    </row>
    <row r="46" spans="1:3" x14ac:dyDescent="0.25">
      <c r="A46" t="s">
        <v>11</v>
      </c>
      <c r="B46">
        <f>64+43</f>
        <v>107</v>
      </c>
      <c r="C46" s="1">
        <f t="shared" si="5"/>
        <v>10679.509499999998</v>
      </c>
    </row>
    <row r="47" spans="1:3" x14ac:dyDescent="0.25">
      <c r="B47" s="2">
        <f t="shared" ref="B47" si="6">SUM(B35:B46)</f>
        <v>1179</v>
      </c>
      <c r="C47" s="1">
        <f t="shared" ref="C47" si="7">SUM(C35:C46)</f>
        <v>117674.22149999999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EE</vt:lpstr>
      <vt:lpstr>ZP faktury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2023-05-02T08:33:49Z</dcterms:modified>
</cp:coreProperties>
</file>